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drawings/drawing2.xml" ContentType="application/vnd.openxmlformats-officedocument.drawing+xml"/>
  <Override PartName="/xl/ink/ink7.xml" ContentType="application/inkml+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ink/ink8.xml" ContentType="application/inkml+xml"/>
  <Override PartName="/xl/ink/ink9.xml" ContentType="application/inkml+xml"/>
  <Override PartName="/xl/ink/ink10.xml" ContentType="application/inkml+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ink/ink11.xml" ContentType="application/inkml+xml"/>
  <Override PartName="/xl/ink/ink12.xml" ContentType="application/inkml+xml"/>
  <Override PartName="/xl/ink/ink13.xml" ContentType="application/inkml+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ink/ink14.xml" ContentType="application/inkml+xml"/>
  <Override PartName="/xl/ink/ink15.xml" ContentType="application/inkml+xml"/>
  <Override PartName="/xl/ink/ink16.xml" ContentType="application/inkml+xml"/>
  <Override PartName="/xl/ink/ink17.xml" ContentType="application/inkml+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ink/ink18.xml" ContentType="application/inkml+xml"/>
  <Override PartName="/xl/ink/ink19.xml" ContentType="application/inkml+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8.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ink/ink59.xml" ContentType="application/inkml+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ml.chartshapes+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ink/ink93.xml" ContentType="application/inkml+xml"/>
  <Override PartName="/xl/ink/ink94.xml" ContentType="application/inkml+xml"/>
  <Override PartName="/xl/drawings/drawing12.xml" ContentType="application/vnd.openxmlformats-officedocument.drawing+xml"/>
  <Override PartName="/xl/ink/ink95.xml" ContentType="application/inkml+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24226"/>
  <mc:AlternateContent xmlns:mc="http://schemas.openxmlformats.org/markup-compatibility/2006">
    <mc:Choice Requires="x15">
      <x15ac:absPath xmlns:x15ac="http://schemas.microsoft.com/office/spreadsheetml/2010/11/ac" url="C:\Users\Ralph\Documents\AeroFS\EI Act Part 2\monitoring - EVA\"/>
    </mc:Choice>
  </mc:AlternateContent>
  <xr:revisionPtr revIDLastSave="0" documentId="13_ncr:1_{A2F445F2-7B15-4EE1-A898-6C9C2320AFEF}" xr6:coauthVersionLast="47" xr6:coauthVersionMax="47" xr10:uidLastSave="{00000000-0000-0000-0000-000000000000}"/>
  <bookViews>
    <workbookView xWindow="-120" yWindow="-120" windowWidth="29040" windowHeight="17520" firstSheet="1" activeTab="1" xr2:uid="{8BB6D2AA-2729-48FE-A64B-8A502DE30CA5}"/>
  </bookViews>
  <sheets>
    <sheet name="Changes" sheetId="85" state="hidden" r:id="rId1"/>
    <sheet name="1_ContentsPublic" sheetId="103" r:id="rId2"/>
    <sheet name="2_Inc-Stat" sheetId="3" r:id="rId3"/>
    <sheet name="3_Inc-Stat-FINMod" sheetId="45" r:id="rId4"/>
    <sheet name="4_Fin-Stat" sheetId="8" r:id="rId5"/>
    <sheet name="5_Fin-Stat-FINMod" sheetId="64" r:id="rId6"/>
    <sheet name="6_Cost of Capital" sheetId="101" r:id="rId7"/>
    <sheet name="7_Data Notes" sheetId="95" r:id="rId8"/>
    <sheet name="8_Data Adjust" sheetId="59" r:id="rId9"/>
    <sheet name="Rf SP" sheetId="102" state="hidden" r:id="rId10"/>
    <sheet name="Old 5" sheetId="67" state="hidden" r:id="rId11"/>
    <sheet name="3_Working IFRS" sheetId="78" state="hidden" r:id="rId12"/>
    <sheet name="Econ-Perf 1" sheetId="34" state="hidden" r:id="rId13"/>
    <sheet name="Econ-Perf 2" sheetId="23" state="hidden" r:id="rId14"/>
    <sheet name="Mark-Expect" sheetId="20" state="hidden" r:id="rId15"/>
    <sheet name="TSR" sheetId="33" state="hidden" r:id="rId16"/>
    <sheet name=" 11-BU Perf" sheetId="17" state="hidden" r:id="rId17"/>
    <sheet name="15-per Store 16-17" sheetId="26" state="hidden" r:id="rId18"/>
    <sheet name="Archives" sheetId="73" state="hidden" r:id="rId19"/>
    <sheet name="18 Data for Charts" sheetId="42" state="hidden" r:id="rId20"/>
    <sheet name="15b-Charts Comp" sheetId="31" state="hidden" r:id="rId21"/>
    <sheet name="15c-Charts Stores" sheetId="43" state="hidden" r:id="rId22"/>
    <sheet name="X-Chart Basics" sheetId="44" state="hidden" r:id="rId23"/>
    <sheet name="2011" sheetId="60" state="hidden" r:id="rId24"/>
    <sheet name="Old Fin" sheetId="36" state="hidden" r:id="rId25"/>
    <sheet name="JennyR" sheetId="41" state="hidden" r:id="rId26"/>
    <sheet name="New Charts" sheetId="40" state="hidden" r:id="rId27"/>
    <sheet name="xx-WHS Metrics" sheetId="24" state="hidden" r:id="rId28"/>
    <sheet name="Lease" sheetId="25" state="hidden" r:id="rId29"/>
    <sheet name="Tables" sheetId="28" state="hidden" r:id="rId30"/>
    <sheet name="Charts" sheetId="27" state="hidden" r:id="rId31"/>
  </sheets>
  <externalReferences>
    <externalReference r:id="rId32"/>
  </externalReferences>
  <definedNames>
    <definedName name="_Fill" hidden="1">#REF!</definedName>
    <definedName name="a12M90">'8_Data Adjust'!#REF!</definedName>
    <definedName name="ONE">#REF!</definedName>
    <definedName name="_xlnm.Print_Area" localSheetId="16">' 11-BU Perf'!$A$1:$AA$22</definedName>
    <definedName name="_xlnm.Print_Area" localSheetId="20">'15b-Charts Comp'!$B$66:$S$153</definedName>
    <definedName name="_xlnm.Print_Area" localSheetId="21">'15c-Charts Stores'!$B$16:$R$146</definedName>
    <definedName name="_xlnm.Print_Area" localSheetId="17">'15-per Store 16-17'!$A$1:$V$49</definedName>
    <definedName name="_xlnm.Print_Area" localSheetId="19">'18 Data for Charts'!$A$1:$AA$99</definedName>
    <definedName name="_xlnm.Print_Area" localSheetId="2">'2_Inc-Stat'!$A$1:$AB$310</definedName>
    <definedName name="_xlnm.Print_Area" localSheetId="23">'2011'!$A$1:$R$129</definedName>
    <definedName name="_xlnm.Print_Area" localSheetId="3">'3_Inc-Stat-FINMod'!$A$1:$AB$146</definedName>
    <definedName name="_xlnm.Print_Area" localSheetId="11">'3_Working IFRS'!$A$1:$V$225</definedName>
    <definedName name="_xlnm.Print_Area" localSheetId="4">'4_Fin-Stat'!$A$1:$AB$368</definedName>
    <definedName name="_xlnm.Print_Area" localSheetId="5">'5_Fin-Stat-FINMod'!$A$1:$AB$139</definedName>
    <definedName name="_xlnm.Print_Area" localSheetId="6">'6_Cost of Capital'!$A$1:$AB$177</definedName>
    <definedName name="_xlnm.Print_Area" localSheetId="7">'7_Data Notes'!$A$1:$AA$62</definedName>
    <definedName name="_xlnm.Print_Area" localSheetId="8">'8_Data Adjust'!$A$1:$AC$127</definedName>
    <definedName name="_xlnm.Print_Area" localSheetId="18">Archives!$A$1:$AB$117</definedName>
    <definedName name="_xlnm.Print_Area" localSheetId="0">Changes!$A$1:$S$29</definedName>
    <definedName name="_xlnm.Print_Area" localSheetId="30">#REF!</definedName>
    <definedName name="_xlnm.Print_Area" localSheetId="12">'Econ-Perf 1'!$A$1:$AA$56</definedName>
    <definedName name="_xlnm.Print_Area" localSheetId="13">'Econ-Perf 2'!$A$1:$AA$107</definedName>
    <definedName name="_xlnm.Print_Area" localSheetId="25">JennyR!$A$1:$M$106</definedName>
    <definedName name="_xlnm.Print_Area" localSheetId="14">'Mark-Expect'!$A$1:$AA$69</definedName>
    <definedName name="_xlnm.Print_Area" localSheetId="26">'New Charts'!$B$28:$O$76</definedName>
    <definedName name="_xlnm.Print_Area" localSheetId="10">'Old 5'!$A$1:$AA$75</definedName>
    <definedName name="_xlnm.Print_Area" localSheetId="24">'Old Fin'!$A$2:$M$78</definedName>
    <definedName name="_xlnm.Print_Area" localSheetId="29">Tables!$A$1:$J$27</definedName>
    <definedName name="_xlnm.Print_Area" localSheetId="15">TSR!$A$1:$AA$52</definedName>
    <definedName name="_xlnm.Print_Area" localSheetId="27">'xx-WHS Metrics'!$A$5:$P$47</definedName>
    <definedName name="THREE">#REF!</definedName>
    <definedName name="TWO">#REF!</definedName>
    <definedName name="Z_5826E3E6_173D_429F_ABE1_D868EE9E034B_.wvu.Cols" localSheetId="16" hidden="1">' 11-BU Perf'!$E:$F</definedName>
    <definedName name="Z_5826E3E6_173D_429F_ABE1_D868EE9E034B_.wvu.Cols" localSheetId="2" hidden="1">'2_Inc-Stat'!$G:$H</definedName>
    <definedName name="Z_5826E3E6_173D_429F_ABE1_D868EE9E034B_.wvu.Cols" localSheetId="4" hidden="1">'4_Fin-Stat'!$G:$H</definedName>
    <definedName name="Z_5826E3E6_173D_429F_ABE1_D868EE9E034B_.wvu.Cols" localSheetId="12" hidden="1">'Econ-Perf 1'!$F:$H</definedName>
    <definedName name="Z_5826E3E6_173D_429F_ABE1_D868EE9E034B_.wvu.Cols" localSheetId="13" hidden="1">'Econ-Perf 2'!$G:$H</definedName>
    <definedName name="Z_5826E3E6_173D_429F_ABE1_D868EE9E034B_.wvu.Cols" localSheetId="14" hidden="1">'Mark-Expect'!$G:$G</definedName>
    <definedName name="Z_5826E3E6_173D_429F_ABE1_D868EE9E034B_.wvu.PrintArea" localSheetId="16" hidden="1">' 11-BU Perf'!$B$4:$S$20</definedName>
    <definedName name="Z_5826E3E6_173D_429F_ABE1_D868EE9E034B_.wvu.PrintArea" localSheetId="17" hidden="1">'15-per Store 16-17'!$A$1:$U$49</definedName>
    <definedName name="Z_5826E3E6_173D_429F_ABE1_D868EE9E034B_.wvu.PrintArea" localSheetId="4" hidden="1">'4_Fin-Stat'!$A$1:$R$350</definedName>
    <definedName name="Z_5826E3E6_173D_429F_ABE1_D868EE9E034B_.wvu.PrintArea" localSheetId="12" hidden="1">'Econ-Perf 1'!$A$4:$R$41</definedName>
    <definedName name="Z_5826E3E6_173D_429F_ABE1_D868EE9E034B_.wvu.PrintArea" localSheetId="13" hidden="1">'Econ-Perf 2'!$A$4:$V$73</definedName>
    <definedName name="Z_5826E3E6_173D_429F_ABE1_D868EE9E034B_.wvu.PrintArea" localSheetId="14" hidden="1">'Mark-Expect'!$A$4:$T$67</definedName>
    <definedName name="Z_5826E3E6_173D_429F_ABE1_D868EE9E034B_.wvu.PrintArea" localSheetId="24" hidden="1">'Old Fin'!#REF!</definedName>
    <definedName name="Z_5826E3E6_173D_429F_ABE1_D868EE9E034B_.wvu.PrintArea" localSheetId="29" hidden="1">Tables!$A$1:$J$27</definedName>
    <definedName name="Z_5826E3E6_173D_429F_ABE1_D868EE9E034B_.wvu.PrintArea" localSheetId="15" hidden="1">TSR!$A$4:$U$52</definedName>
    <definedName name="Z_5826E3E6_173D_429F_ABE1_D868EE9E034B_.wvu.PrintArea" localSheetId="27" hidden="1">'xx-WHS Metrics'!$A$5:$P$47</definedName>
    <definedName name="Z_5826E3E6_173D_429F_ABE1_D868EE9E034B_.wvu.Rows" localSheetId="2" hidden="1">'2_Inc-Stat'!$403:$419</definedName>
    <definedName name="Z_5826E3E6_173D_429F_ABE1_D868EE9E034B_.wvu.Rows" localSheetId="27" hidden="1">'xx-WHS Metrics'!$48:$61</definedName>
  </definedNames>
  <calcPr calcId="191028" iterate="1"/>
  <customWorkbookViews>
    <customWorkbookView name="Contents" guid="{5826E3E6-173D-429F-ABE1-D868EE9E034B}" maximized="1" xWindow="4365" yWindow="-13" windowWidth="3098" windowHeight="1674" tabRatio="1000" activeSheetId="1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01" i="102" l="1"/>
  <c r="AA101" i="102"/>
  <c r="Z101" i="102"/>
  <c r="Y101" i="102"/>
  <c r="X101" i="102"/>
  <c r="W101" i="102"/>
  <c r="V101" i="102"/>
  <c r="U101" i="102"/>
  <c r="T101" i="102"/>
  <c r="S101" i="102"/>
  <c r="R101" i="102"/>
  <c r="W100" i="102"/>
  <c r="X100" i="102" s="1"/>
  <c r="Y100" i="102" s="1"/>
  <c r="Z100" i="102" s="1"/>
  <c r="AA100" i="102" s="1"/>
  <c r="AB100" i="102" s="1"/>
  <c r="R96" i="102" s="1"/>
  <c r="S96" i="102" s="1"/>
  <c r="T96" i="102" s="1"/>
  <c r="T100" i="102"/>
  <c r="S100" i="102" s="1"/>
  <c r="R100" i="102" s="1"/>
  <c r="AB97" i="102"/>
  <c r="AA97" i="102"/>
  <c r="Z97" i="102"/>
  <c r="Y97" i="102"/>
  <c r="X97" i="102"/>
  <c r="W97" i="102"/>
  <c r="V97" i="102"/>
  <c r="U97" i="102"/>
  <c r="T97" i="102"/>
  <c r="S97" i="102"/>
  <c r="R97" i="102"/>
  <c r="V96" i="102"/>
  <c r="W96" i="102" s="1"/>
  <c r="X96" i="102" s="1"/>
  <c r="Y96" i="102" s="1"/>
  <c r="Z96" i="102" s="1"/>
  <c r="AA96" i="102" s="1"/>
  <c r="AB96" i="102" s="1"/>
  <c r="U95" i="102"/>
  <c r="V95" i="102" s="1"/>
  <c r="W95" i="102" s="1"/>
  <c r="X95" i="102" s="1"/>
  <c r="Y95" i="102" s="1"/>
  <c r="Z95" i="102" s="1"/>
  <c r="AA95" i="102" s="1"/>
  <c r="AB95" i="102" s="1"/>
  <c r="T95" i="102"/>
  <c r="S95" i="102"/>
  <c r="G94" i="102"/>
  <c r="Z93" i="102"/>
  <c r="Z92" i="102"/>
  <c r="U92" i="102"/>
  <c r="P92" i="102"/>
  <c r="K92" i="102"/>
  <c r="Z91" i="102"/>
  <c r="U91" i="102"/>
  <c r="P91" i="102"/>
  <c r="K91" i="102"/>
  <c r="Z90" i="102"/>
  <c r="U90" i="102"/>
  <c r="P90" i="102"/>
  <c r="K90" i="102"/>
  <c r="Z89" i="102"/>
  <c r="U89" i="102"/>
  <c r="P89" i="102"/>
  <c r="K89" i="102"/>
  <c r="Z88" i="102"/>
  <c r="U88" i="102"/>
  <c r="P88" i="102"/>
  <c r="K88" i="102"/>
  <c r="Z87" i="102"/>
  <c r="U87" i="102"/>
  <c r="P87" i="102"/>
  <c r="K87" i="102"/>
  <c r="Z86" i="102"/>
  <c r="U86" i="102"/>
  <c r="P86" i="102"/>
  <c r="K86" i="102"/>
  <c r="Z85" i="102"/>
  <c r="U85" i="102"/>
  <c r="P85" i="102"/>
  <c r="K85" i="102"/>
  <c r="Z84" i="102"/>
  <c r="U84" i="102"/>
  <c r="P84" i="102"/>
  <c r="K84" i="102"/>
  <c r="Z83" i="102"/>
  <c r="U83" i="102"/>
  <c r="P83" i="102"/>
  <c r="K83" i="102"/>
  <c r="Z82" i="102"/>
  <c r="U82" i="102"/>
  <c r="P82" i="102"/>
  <c r="K82" i="102"/>
  <c r="Z81" i="102"/>
  <c r="U81" i="102"/>
  <c r="P81" i="102"/>
  <c r="K81" i="102"/>
  <c r="Z80" i="102"/>
  <c r="U80" i="102"/>
  <c r="P80" i="102"/>
  <c r="K80" i="102"/>
  <c r="Z79" i="102"/>
  <c r="U79" i="102"/>
  <c r="P79" i="102"/>
  <c r="K79" i="102"/>
  <c r="Z78" i="102"/>
  <c r="U78" i="102"/>
  <c r="P78" i="102"/>
  <c r="K78" i="102"/>
  <c r="Z77" i="102"/>
  <c r="U77" i="102"/>
  <c r="P77" i="102"/>
  <c r="K77" i="102"/>
  <c r="Z76" i="102"/>
  <c r="U76" i="102"/>
  <c r="P76" i="102"/>
  <c r="K76" i="102"/>
  <c r="Z75" i="102"/>
  <c r="U75" i="102"/>
  <c r="P75" i="102"/>
  <c r="K75" i="102"/>
  <c r="Z74" i="102"/>
  <c r="U74" i="102"/>
  <c r="P74" i="102"/>
  <c r="K74" i="102"/>
  <c r="Z73" i="102"/>
  <c r="U73" i="102"/>
  <c r="P73" i="102"/>
  <c r="K73" i="102"/>
  <c r="Z72" i="102"/>
  <c r="U72" i="102"/>
  <c r="P72" i="102"/>
  <c r="K72" i="102"/>
  <c r="Z71" i="102"/>
  <c r="U71" i="102"/>
  <c r="P71" i="102"/>
  <c r="K71" i="102"/>
  <c r="Z70" i="102"/>
  <c r="U70" i="102"/>
  <c r="P70" i="102"/>
  <c r="K70" i="102"/>
  <c r="Z69" i="102"/>
  <c r="U69" i="102"/>
  <c r="P69" i="102"/>
  <c r="K69" i="102"/>
  <c r="Z68" i="102"/>
  <c r="U68" i="102"/>
  <c r="P68" i="102"/>
  <c r="K68" i="102"/>
  <c r="Z67" i="102"/>
  <c r="U67" i="102"/>
  <c r="P67" i="102"/>
  <c r="K67" i="102"/>
  <c r="Z66" i="102"/>
  <c r="U66" i="102"/>
  <c r="P66" i="102"/>
  <c r="K66" i="102"/>
  <c r="Z65" i="102"/>
  <c r="U65" i="102"/>
  <c r="P65" i="102"/>
  <c r="K65" i="102"/>
  <c r="Z64" i="102"/>
  <c r="U64" i="102"/>
  <c r="P64" i="102"/>
  <c r="K64" i="102"/>
  <c r="Z63" i="102"/>
  <c r="U63" i="102"/>
  <c r="P63" i="102"/>
  <c r="K63" i="102"/>
  <c r="Z62" i="102"/>
  <c r="U62" i="102"/>
  <c r="P62" i="102"/>
  <c r="K62" i="102"/>
  <c r="Z61" i="102"/>
  <c r="U61" i="102"/>
  <c r="P61" i="102"/>
  <c r="K61" i="102"/>
  <c r="Z60" i="102"/>
  <c r="U60" i="102"/>
  <c r="P60" i="102"/>
  <c r="K60" i="102"/>
  <c r="Z59" i="102"/>
  <c r="U59" i="102"/>
  <c r="P59" i="102"/>
  <c r="K59" i="102"/>
  <c r="Z58" i="102"/>
  <c r="U58" i="102"/>
  <c r="P58" i="102"/>
  <c r="K58" i="102"/>
  <c r="Z57" i="102"/>
  <c r="U57" i="102"/>
  <c r="P57" i="102"/>
  <c r="K57" i="102"/>
  <c r="Z56" i="102"/>
  <c r="U56" i="102"/>
  <c r="P56" i="102"/>
  <c r="K56" i="102"/>
  <c r="Z55" i="102"/>
  <c r="U55" i="102"/>
  <c r="P55" i="102"/>
  <c r="K55" i="102"/>
  <c r="Z54" i="102"/>
  <c r="U54" i="102"/>
  <c r="P54" i="102"/>
  <c r="K54" i="102"/>
  <c r="Z53" i="102"/>
  <c r="U53" i="102"/>
  <c r="P53" i="102"/>
  <c r="K53" i="102"/>
  <c r="Z52" i="102"/>
  <c r="U52" i="102"/>
  <c r="P52" i="102"/>
  <c r="K52" i="102"/>
  <c r="Z51" i="102"/>
  <c r="U51" i="102"/>
  <c r="P51" i="102"/>
  <c r="K51" i="102"/>
  <c r="Z50" i="102"/>
  <c r="U50" i="102"/>
  <c r="P50" i="102"/>
  <c r="K50" i="102"/>
  <c r="Z49" i="102"/>
  <c r="U49" i="102"/>
  <c r="P49" i="102"/>
  <c r="K49" i="102"/>
  <c r="Z48" i="102"/>
  <c r="U48" i="102"/>
  <c r="P48" i="102"/>
  <c r="K48" i="102"/>
  <c r="Z47" i="102"/>
  <c r="U47" i="102"/>
  <c r="P47" i="102"/>
  <c r="K47" i="102"/>
  <c r="Z46" i="102"/>
  <c r="U46" i="102"/>
  <c r="P46" i="102"/>
  <c r="K46" i="102"/>
  <c r="AE45" i="102"/>
  <c r="Z45" i="102"/>
  <c r="U45" i="102"/>
  <c r="P45" i="102"/>
  <c r="K45" i="102"/>
  <c r="AE44" i="102"/>
  <c r="Z44" i="102"/>
  <c r="U44" i="102"/>
  <c r="P44" i="102"/>
  <c r="K44" i="102"/>
  <c r="AE43" i="102"/>
  <c r="Z43" i="102"/>
  <c r="U43" i="102"/>
  <c r="P43" i="102"/>
  <c r="K43" i="102"/>
  <c r="AE42" i="102"/>
  <c r="Z42" i="102"/>
  <c r="U42" i="102"/>
  <c r="P42" i="102"/>
  <c r="K42" i="102"/>
  <c r="AE41" i="102"/>
  <c r="Z41" i="102"/>
  <c r="U41" i="102"/>
  <c r="P41" i="102"/>
  <c r="K41" i="102"/>
  <c r="AE40" i="102"/>
  <c r="Z40" i="102"/>
  <c r="U40" i="102"/>
  <c r="P40" i="102"/>
  <c r="K40" i="102"/>
  <c r="AE39" i="102"/>
  <c r="Z39" i="102"/>
  <c r="U39" i="102"/>
  <c r="P39" i="102"/>
  <c r="K39" i="102"/>
  <c r="AE38" i="102"/>
  <c r="Z38" i="102"/>
  <c r="U38" i="102"/>
  <c r="P38" i="102"/>
  <c r="K38" i="102"/>
  <c r="AE37" i="102"/>
  <c r="Z37" i="102"/>
  <c r="U37" i="102"/>
  <c r="P37" i="102"/>
  <c r="K37" i="102"/>
  <c r="AE36" i="102"/>
  <c r="Z36" i="102"/>
  <c r="U36" i="102"/>
  <c r="P36" i="102"/>
  <c r="K36" i="102"/>
  <c r="AE35" i="102"/>
  <c r="AB35" i="102"/>
  <c r="Z35" i="102"/>
  <c r="U35" i="102"/>
  <c r="P35" i="102"/>
  <c r="K35" i="102"/>
  <c r="AE34" i="102"/>
  <c r="Z34" i="102"/>
  <c r="U34" i="102"/>
  <c r="P34" i="102"/>
  <c r="K34" i="102"/>
  <c r="AE33" i="102"/>
  <c r="Z33" i="102"/>
  <c r="U33" i="102"/>
  <c r="P33" i="102"/>
  <c r="K33" i="102"/>
  <c r="AE32" i="102"/>
  <c r="Z32" i="102"/>
  <c r="U32" i="102"/>
  <c r="P32" i="102"/>
  <c r="K32" i="102"/>
  <c r="AE31" i="102"/>
  <c r="Z31" i="102"/>
  <c r="U31" i="102"/>
  <c r="P31" i="102"/>
  <c r="K31" i="102"/>
  <c r="AE30" i="102"/>
  <c r="Z30" i="102"/>
  <c r="U30" i="102"/>
  <c r="P30" i="102"/>
  <c r="K30" i="102"/>
  <c r="AE29" i="102"/>
  <c r="Z29" i="102"/>
  <c r="U29" i="102"/>
  <c r="P29" i="102"/>
  <c r="K29" i="102"/>
  <c r="AE28" i="102"/>
  <c r="Z28" i="102"/>
  <c r="U28" i="102"/>
  <c r="P28" i="102"/>
  <c r="K28" i="102"/>
  <c r="AE27" i="102"/>
  <c r="Z27" i="102"/>
  <c r="U27" i="102"/>
  <c r="P27" i="102"/>
  <c r="K27" i="102"/>
  <c r="AE26" i="102"/>
  <c r="Z26" i="102"/>
  <c r="U26" i="102"/>
  <c r="P26" i="102"/>
  <c r="K26" i="102"/>
  <c r="AE25" i="102"/>
  <c r="Z25" i="102"/>
  <c r="U25" i="102"/>
  <c r="P25" i="102"/>
  <c r="K25" i="102"/>
  <c r="AE24" i="102"/>
  <c r="Z24" i="102"/>
  <c r="U24" i="102"/>
  <c r="P24" i="102"/>
  <c r="K24" i="102"/>
  <c r="AE23" i="102"/>
  <c r="Z23" i="102"/>
  <c r="U23" i="102"/>
  <c r="P23" i="102"/>
  <c r="K23" i="102"/>
  <c r="AE22" i="102"/>
  <c r="Z22" i="102"/>
  <c r="U22" i="102"/>
  <c r="P22" i="102"/>
  <c r="K22" i="102"/>
  <c r="AE21" i="102"/>
  <c r="Z21" i="102"/>
  <c r="U21" i="102"/>
  <c r="P21" i="102"/>
  <c r="K21" i="102"/>
  <c r="AB16" i="102"/>
  <c r="AA16" i="102"/>
  <c r="Z16" i="102"/>
  <c r="Y16" i="102"/>
  <c r="X16" i="102"/>
  <c r="W16" i="102"/>
  <c r="V16" i="102"/>
  <c r="U16" i="102"/>
  <c r="T16" i="102"/>
  <c r="S16" i="102"/>
  <c r="R16" i="102"/>
  <c r="Q16" i="102"/>
  <c r="P16" i="102"/>
  <c r="O16" i="102"/>
  <c r="N16" i="102"/>
  <c r="M16" i="102"/>
  <c r="L16" i="102"/>
  <c r="K16" i="102"/>
  <c r="J16" i="102"/>
  <c r="I16" i="102"/>
  <c r="H16" i="102"/>
  <c r="G16" i="102"/>
  <c r="F16" i="102"/>
  <c r="E16" i="102"/>
  <c r="AB15" i="102"/>
  <c r="AA15" i="102"/>
  <c r="Z15" i="102"/>
  <c r="Y15" i="102"/>
  <c r="X15" i="102"/>
  <c r="W15" i="102"/>
  <c r="V15" i="102"/>
  <c r="U15" i="102"/>
  <c r="T15" i="102"/>
  <c r="S15" i="102"/>
  <c r="R15" i="102"/>
  <c r="Q15" i="102"/>
  <c r="P15" i="102"/>
  <c r="O15" i="102"/>
  <c r="N15" i="102"/>
  <c r="M15" i="102"/>
  <c r="L15" i="102"/>
  <c r="K15" i="102"/>
  <c r="J15" i="102"/>
  <c r="I15" i="102"/>
  <c r="H15" i="102"/>
  <c r="G15" i="102"/>
  <c r="F15" i="102"/>
  <c r="E15" i="102"/>
  <c r="AB14" i="102"/>
  <c r="AA14" i="102"/>
  <c r="Z14" i="102"/>
  <c r="Y14" i="102"/>
  <c r="X14" i="102"/>
  <c r="W14" i="102"/>
  <c r="V14" i="102"/>
  <c r="U14" i="102"/>
  <c r="T14" i="102"/>
  <c r="S14" i="102"/>
  <c r="R14" i="102"/>
  <c r="Q14" i="102"/>
  <c r="P14" i="102"/>
  <c r="O14" i="102"/>
  <c r="N14" i="102"/>
  <c r="M14" i="102"/>
  <c r="L14" i="102"/>
  <c r="K14" i="102"/>
  <c r="J14" i="102"/>
  <c r="I14" i="102"/>
  <c r="H14" i="102"/>
  <c r="G14" i="102"/>
  <c r="F14" i="102"/>
  <c r="E14" i="102"/>
  <c r="AB13" i="102"/>
  <c r="AA13" i="102"/>
  <c r="Z13" i="102"/>
  <c r="Y13" i="102"/>
  <c r="X13" i="102"/>
  <c r="W13" i="102"/>
  <c r="V13" i="102"/>
  <c r="U13" i="102"/>
  <c r="T13" i="102"/>
  <c r="S13" i="102"/>
  <c r="R13" i="102"/>
  <c r="Q13" i="102"/>
  <c r="P13" i="102"/>
  <c r="O13" i="102"/>
  <c r="N13" i="102"/>
  <c r="M13" i="102"/>
  <c r="L13" i="102"/>
  <c r="K13" i="102"/>
  <c r="J13" i="102"/>
  <c r="I13" i="102"/>
  <c r="H13" i="102"/>
  <c r="G13" i="102"/>
  <c r="F13" i="102"/>
  <c r="E13" i="102"/>
  <c r="AB9" i="102"/>
  <c r="AA9" i="102"/>
  <c r="Z9" i="102"/>
  <c r="Y9" i="102"/>
  <c r="X9" i="102"/>
  <c r="W9" i="102"/>
  <c r="V9" i="102"/>
  <c r="U9" i="102"/>
  <c r="T9" i="102"/>
  <c r="S9" i="102"/>
  <c r="R9" i="102"/>
  <c r="Q9" i="102"/>
  <c r="P9" i="102"/>
  <c r="O9" i="102"/>
  <c r="N9" i="102"/>
  <c r="M9" i="102"/>
  <c r="L9" i="102"/>
  <c r="K9" i="102"/>
  <c r="J9" i="102"/>
  <c r="I9" i="102"/>
  <c r="H9" i="102"/>
  <c r="G9" i="102"/>
  <c r="F9" i="102"/>
  <c r="E9" i="102"/>
  <c r="AB8" i="102"/>
  <c r="AA8" i="102"/>
  <c r="Z8" i="102"/>
  <c r="Y8" i="102"/>
  <c r="X8" i="102"/>
  <c r="W8" i="102"/>
  <c r="V8" i="102"/>
  <c r="U8" i="102"/>
  <c r="T8" i="102"/>
  <c r="S8" i="102"/>
  <c r="R8" i="102"/>
  <c r="Q8" i="102"/>
  <c r="P8" i="102"/>
  <c r="O8" i="102"/>
  <c r="N8" i="102"/>
  <c r="M8" i="102"/>
  <c r="L8" i="102"/>
  <c r="K8" i="102"/>
  <c r="J8" i="102"/>
  <c r="I8" i="102"/>
  <c r="H8" i="102"/>
  <c r="G8" i="102"/>
  <c r="F8" i="102"/>
  <c r="E8" i="102"/>
  <c r="AB7" i="102"/>
  <c r="AA7" i="102"/>
  <c r="Z7" i="102"/>
  <c r="Y7" i="102"/>
  <c r="X7" i="102"/>
  <c r="W7" i="102"/>
  <c r="V7" i="102"/>
  <c r="U7" i="102"/>
  <c r="T7" i="102"/>
  <c r="S7" i="102"/>
  <c r="R7" i="102"/>
  <c r="Q7" i="102"/>
  <c r="P7" i="102"/>
  <c r="O7" i="102"/>
  <c r="N7" i="102"/>
  <c r="M7" i="102"/>
  <c r="L7" i="102"/>
  <c r="K7" i="102"/>
  <c r="J7" i="102"/>
  <c r="I7" i="102"/>
  <c r="H7" i="102"/>
  <c r="G7" i="102"/>
  <c r="F7" i="102"/>
  <c r="E7" i="102"/>
  <c r="AB6" i="102"/>
  <c r="AA6" i="102"/>
  <c r="Z6" i="102"/>
  <c r="Y6" i="102"/>
  <c r="X6" i="102"/>
  <c r="W6" i="102"/>
  <c r="V6" i="102"/>
  <c r="U6" i="102"/>
  <c r="T6" i="102"/>
  <c r="S6" i="102"/>
  <c r="R6" i="102"/>
  <c r="Q6" i="102"/>
  <c r="P6" i="102"/>
  <c r="O6" i="102"/>
  <c r="N6" i="102"/>
  <c r="M6" i="102"/>
  <c r="L6" i="102"/>
  <c r="K6" i="102"/>
  <c r="J6" i="102"/>
  <c r="I6" i="102"/>
  <c r="H6" i="102"/>
  <c r="G6" i="102"/>
  <c r="F6" i="102"/>
  <c r="E6" i="102"/>
  <c r="O3" i="102"/>
  <c r="P3" i="102" s="1"/>
  <c r="Q3" i="102" s="1"/>
  <c r="R3" i="102" s="1"/>
  <c r="S3" i="102" s="1"/>
  <c r="T3" i="102" s="1"/>
  <c r="U3" i="102" s="1"/>
  <c r="V3" i="102" s="1"/>
  <c r="W3" i="102" s="1"/>
  <c r="X3" i="102" s="1"/>
  <c r="Y3" i="102" s="1"/>
  <c r="Z3" i="102" s="1"/>
  <c r="AA3" i="102" s="1"/>
  <c r="AB3" i="102" s="1"/>
  <c r="G3" i="102"/>
  <c r="H3" i="102" s="1"/>
  <c r="I3" i="102" s="1"/>
  <c r="J3" i="102" s="1"/>
  <c r="K3" i="102" s="1"/>
  <c r="L3" i="102" s="1"/>
  <c r="M3" i="102" s="1"/>
  <c r="S2" i="102"/>
  <c r="T2" i="102" s="1"/>
  <c r="U2" i="102" s="1"/>
  <c r="V2" i="102" s="1"/>
  <c r="W2" i="102" s="1"/>
  <c r="X2" i="102" s="1"/>
  <c r="Y2" i="102" s="1"/>
  <c r="Z2" i="102" s="1"/>
  <c r="AA2" i="102" s="1"/>
  <c r="AB2" i="102" s="1"/>
  <c r="G2" i="102"/>
  <c r="H2" i="102" s="1"/>
  <c r="I2" i="102" s="1"/>
  <c r="J2" i="102" s="1"/>
  <c r="K2" i="102" s="1"/>
  <c r="L2" i="102" s="1"/>
  <c r="M2" i="102" s="1"/>
  <c r="N2" i="102" s="1"/>
  <c r="O2" i="102" s="1"/>
  <c r="P2" i="102" s="1"/>
  <c r="L3" i="85" l="1"/>
  <c r="C2" i="85" l="1"/>
  <c r="E1" i="78" l="1"/>
  <c r="G98" i="73" l="1"/>
  <c r="N117" i="73" l="1"/>
  <c r="M117" i="73"/>
  <c r="L117" i="73"/>
  <c r="K117" i="73"/>
  <c r="J117" i="73"/>
  <c r="I117" i="73"/>
  <c r="H117" i="73"/>
  <c r="G117" i="73"/>
  <c r="F117" i="73"/>
  <c r="N113" i="73"/>
  <c r="M113" i="73"/>
  <c r="L113" i="73"/>
  <c r="K113" i="73"/>
  <c r="J113" i="73"/>
  <c r="I113" i="73"/>
  <c r="H113" i="73"/>
  <c r="G113" i="73"/>
  <c r="F113" i="73"/>
  <c r="N109" i="73"/>
  <c r="M109" i="73"/>
  <c r="L109" i="73"/>
  <c r="K109" i="73"/>
  <c r="J109" i="73"/>
  <c r="I109" i="73"/>
  <c r="H109" i="73"/>
  <c r="G109" i="73"/>
  <c r="F109" i="73"/>
  <c r="N105" i="73"/>
  <c r="M105" i="73"/>
  <c r="L105" i="73"/>
  <c r="K105" i="73"/>
  <c r="J105" i="73"/>
  <c r="I105" i="73"/>
  <c r="H105" i="73"/>
  <c r="G105" i="73"/>
  <c r="F105" i="73"/>
  <c r="N99" i="73"/>
  <c r="G99" i="73"/>
  <c r="N98" i="73"/>
  <c r="N100" i="73" s="1"/>
  <c r="G100" i="73"/>
  <c r="P80" i="73"/>
  <c r="P82" i="73" s="1"/>
  <c r="O80" i="73"/>
  <c r="P75" i="73"/>
  <c r="I75" i="73"/>
  <c r="O73" i="73"/>
  <c r="H73" i="73"/>
  <c r="L72" i="73"/>
  <c r="Q71" i="73"/>
  <c r="P71" i="73"/>
  <c r="P78" i="73" s="1"/>
  <c r="P81" i="73" s="1"/>
  <c r="J71" i="73"/>
  <c r="K71" i="73" s="1"/>
  <c r="I71" i="73"/>
  <c r="P69" i="73"/>
  <c r="I69" i="73"/>
  <c r="R68" i="73"/>
  <c r="O68" i="73"/>
  <c r="K68" i="73"/>
  <c r="H68" i="73"/>
  <c r="Q67" i="73"/>
  <c r="Q69" i="73" s="1"/>
  <c r="R69" i="73" s="1"/>
  <c r="J67" i="73"/>
  <c r="J69" i="73" s="1"/>
  <c r="K69" i="73" s="1"/>
  <c r="P66" i="73"/>
  <c r="I66" i="73"/>
  <c r="P64" i="73"/>
  <c r="I64" i="73"/>
  <c r="R63" i="73"/>
  <c r="O63" i="73"/>
  <c r="K63" i="73"/>
  <c r="H63" i="73"/>
  <c r="Q62" i="73"/>
  <c r="Q64" i="73" s="1"/>
  <c r="R64" i="73" s="1"/>
  <c r="J62" i="73"/>
  <c r="J64" i="73" s="1"/>
  <c r="K64" i="73" s="1"/>
  <c r="P61" i="73"/>
  <c r="I61" i="73"/>
  <c r="P59" i="73"/>
  <c r="I59" i="73"/>
  <c r="R58" i="73"/>
  <c r="O58" i="73"/>
  <c r="K58" i="73"/>
  <c r="H58" i="73"/>
  <c r="Q57" i="73"/>
  <c r="Q59" i="73" s="1"/>
  <c r="R59" i="73" s="1"/>
  <c r="J57" i="73"/>
  <c r="J59" i="73" s="1"/>
  <c r="K59" i="73" s="1"/>
  <c r="P56" i="73"/>
  <c r="I56" i="73"/>
  <c r="P54" i="73"/>
  <c r="I54" i="73"/>
  <c r="R53" i="73"/>
  <c r="O53" i="73"/>
  <c r="K53" i="73"/>
  <c r="H53" i="73"/>
  <c r="Q52" i="73"/>
  <c r="Q54" i="73" s="1"/>
  <c r="J52" i="73"/>
  <c r="J54" i="73" s="1"/>
  <c r="P51" i="73"/>
  <c r="I51" i="73"/>
  <c r="N48" i="73"/>
  <c r="M48" i="73"/>
  <c r="L48" i="73"/>
  <c r="E42" i="73"/>
  <c r="O1" i="73"/>
  <c r="P1" i="73" s="1"/>
  <c r="Q1" i="73" s="1"/>
  <c r="R1" i="73" s="1"/>
  <c r="S1" i="73" s="1"/>
  <c r="T1" i="73" s="1"/>
  <c r="U1" i="73" s="1"/>
  <c r="V1" i="73" s="1"/>
  <c r="W1" i="73" s="1"/>
  <c r="X1" i="73" s="1"/>
  <c r="Y1" i="73" s="1"/>
  <c r="Z1" i="73" s="1"/>
  <c r="AA1" i="73" s="1"/>
  <c r="AB1" i="73" s="1"/>
  <c r="G1" i="73"/>
  <c r="H1" i="73" s="1"/>
  <c r="I1" i="73" s="1"/>
  <c r="J1" i="73" s="1"/>
  <c r="K1" i="73" s="1"/>
  <c r="L1" i="73" s="1"/>
  <c r="M1" i="73" s="1"/>
  <c r="R54" i="73" l="1"/>
  <c r="R75" i="73" s="1"/>
  <c r="Q75" i="73"/>
  <c r="Q77" i="73" s="1"/>
  <c r="Q78" i="73" s="1"/>
  <c r="P83" i="73"/>
  <c r="J75" i="73"/>
  <c r="J76" i="73" s="1"/>
  <c r="K54" i="73"/>
  <c r="K75" i="73" s="1"/>
  <c r="K76" i="73" s="1"/>
  <c r="L52" i="73"/>
  <c r="L71" i="73" s="1"/>
  <c r="L73" i="73" s="1"/>
  <c r="L57" i="73"/>
  <c r="L62" i="73"/>
  <c r="L67" i="73"/>
  <c r="S52" i="73"/>
  <c r="S57" i="73"/>
  <c r="S62" i="73"/>
  <c r="S67" i="73"/>
  <c r="R71" i="73"/>
  <c r="S71" i="73" l="1"/>
  <c r="R76" i="73"/>
  <c r="M142" i="78"/>
  <c r="M143" i="78"/>
  <c r="M144" i="78"/>
  <c r="M145" i="78"/>
  <c r="K146" i="78"/>
  <c r="M147" i="78"/>
  <c r="M148" i="78"/>
  <c r="M149" i="78"/>
  <c r="M150" i="78"/>
  <c r="K151" i="78"/>
  <c r="M152" i="78"/>
  <c r="M153" i="78"/>
  <c r="M154" i="78"/>
  <c r="M155" i="78"/>
  <c r="M156" i="78"/>
  <c r="M157" i="78"/>
  <c r="M158" i="78"/>
  <c r="M159" i="78"/>
  <c r="K160" i="78"/>
  <c r="M160" i="78" s="1"/>
  <c r="M161" i="78"/>
  <c r="M163" i="78"/>
  <c r="M164" i="78"/>
  <c r="M165" i="78"/>
  <c r="M166" i="78"/>
  <c r="M167" i="78"/>
  <c r="M168" i="78"/>
  <c r="K169" i="78"/>
  <c r="M180" i="78"/>
  <c r="L182" i="78"/>
  <c r="A183" i="78"/>
  <c r="M187" i="78"/>
  <c r="M188" i="78"/>
  <c r="M189" i="78"/>
  <c r="M190" i="78"/>
  <c r="M191" i="78"/>
  <c r="M192" i="78"/>
  <c r="M193" i="78"/>
  <c r="M194" i="78"/>
  <c r="M195" i="78"/>
  <c r="K196" i="78"/>
  <c r="M196" i="78" s="1"/>
  <c r="M197" i="78"/>
  <c r="M198" i="78"/>
  <c r="M199" i="78"/>
  <c r="M200" i="78"/>
  <c r="M202" i="78"/>
  <c r="M203" i="78"/>
  <c r="M204" i="78"/>
  <c r="M205" i="78"/>
  <c r="M206" i="78"/>
  <c r="M207" i="78"/>
  <c r="M208" i="78"/>
  <c r="K209" i="78"/>
  <c r="M210" i="78"/>
  <c r="M211" i="78"/>
  <c r="K212" i="78"/>
  <c r="M212" i="78" s="1"/>
  <c r="M213" i="78"/>
  <c r="H214" i="78"/>
  <c r="M214" i="78"/>
  <c r="M215" i="78"/>
  <c r="M216" i="78"/>
  <c r="K217" i="78"/>
  <c r="M217" i="78" s="1"/>
  <c r="H219" i="78"/>
  <c r="M219" i="78"/>
  <c r="M220" i="78"/>
  <c r="L221" i="78"/>
  <c r="I109" i="78"/>
  <c r="H108" i="78"/>
  <c r="I107" i="78"/>
  <c r="I106" i="78"/>
  <c r="G105" i="78"/>
  <c r="G108" i="78" s="1"/>
  <c r="I104" i="78"/>
  <c r="I103" i="78"/>
  <c r="I102" i="78"/>
  <c r="I101" i="78"/>
  <c r="I100" i="78"/>
  <c r="I99" i="78"/>
  <c r="I98" i="78"/>
  <c r="I97" i="78"/>
  <c r="G96" i="78"/>
  <c r="I95" i="78"/>
  <c r="I94" i="78"/>
  <c r="I93" i="78"/>
  <c r="I92" i="78"/>
  <c r="I91" i="78"/>
  <c r="I90" i="78"/>
  <c r="I89" i="78"/>
  <c r="I87" i="78"/>
  <c r="I86" i="78"/>
  <c r="I85" i="78"/>
  <c r="I84" i="78"/>
  <c r="G83" i="78"/>
  <c r="I83" i="78" s="1"/>
  <c r="I82" i="78"/>
  <c r="I81" i="78"/>
  <c r="I80" i="78"/>
  <c r="I79" i="78"/>
  <c r="I78" i="78"/>
  <c r="I77" i="78"/>
  <c r="I76" i="78"/>
  <c r="I75" i="78"/>
  <c r="I74" i="78"/>
  <c r="H69" i="78"/>
  <c r="I68" i="78"/>
  <c r="I67" i="78"/>
  <c r="G56" i="78"/>
  <c r="I55" i="78"/>
  <c r="I54" i="78"/>
  <c r="I53" i="78"/>
  <c r="I52" i="78"/>
  <c r="I51" i="78"/>
  <c r="I50" i="78"/>
  <c r="I48" i="78"/>
  <c r="G47" i="78"/>
  <c r="I47" i="78" s="1"/>
  <c r="I46" i="78"/>
  <c r="I45" i="78"/>
  <c r="I44" i="78"/>
  <c r="I43" i="78"/>
  <c r="I42" i="78"/>
  <c r="I41" i="78"/>
  <c r="I40" i="78"/>
  <c r="I39" i="78"/>
  <c r="G38" i="78"/>
  <c r="I37" i="78"/>
  <c r="I36" i="78"/>
  <c r="I35" i="78"/>
  <c r="I34" i="78"/>
  <c r="G33" i="78"/>
  <c r="I32" i="78"/>
  <c r="I31" i="78"/>
  <c r="I30" i="78"/>
  <c r="I29" i="78"/>
  <c r="V122" i="78"/>
  <c r="V135" i="78"/>
  <c r="V133" i="78"/>
  <c r="V132" i="78"/>
  <c r="V131" i="78"/>
  <c r="V130" i="78"/>
  <c r="V125" i="78"/>
  <c r="V124" i="78"/>
  <c r="V123" i="78"/>
  <c r="V119" i="78"/>
  <c r="V118" i="78"/>
  <c r="U120" i="78"/>
  <c r="T120" i="78"/>
  <c r="T127" i="78" s="1"/>
  <c r="T134" i="78" s="1"/>
  <c r="T136" i="78" s="1"/>
  <c r="AA1" i="78"/>
  <c r="H21" i="78"/>
  <c r="H15" i="78"/>
  <c r="O3" i="78"/>
  <c r="P3" i="78" s="1"/>
  <c r="Q3" i="78" s="1"/>
  <c r="R3" i="78" s="1"/>
  <c r="S3" i="78" s="1"/>
  <c r="T3" i="78" s="1"/>
  <c r="U3" i="78" s="1"/>
  <c r="V3" i="78" s="1"/>
  <c r="W3" i="78" s="1"/>
  <c r="X3" i="78" s="1"/>
  <c r="Y3" i="78" s="1"/>
  <c r="Z3" i="78" s="1"/>
  <c r="AA3" i="78" s="1"/>
  <c r="AB3" i="78" s="1"/>
  <c r="G3" i="78"/>
  <c r="H3" i="78" s="1"/>
  <c r="I3" i="78" s="1"/>
  <c r="J3" i="78" s="1"/>
  <c r="K3" i="78" s="1"/>
  <c r="L3" i="78" s="1"/>
  <c r="M3" i="78" s="1"/>
  <c r="G2" i="78"/>
  <c r="H2" i="78" s="1"/>
  <c r="I2" i="78" s="1"/>
  <c r="J2" i="78" s="1"/>
  <c r="K2" i="78" s="1"/>
  <c r="L2" i="78" s="1"/>
  <c r="M2" i="78" s="1"/>
  <c r="N2" i="78" s="1"/>
  <c r="O2" i="78" s="1"/>
  <c r="P2" i="78" s="1"/>
  <c r="Q2" i="78" s="1"/>
  <c r="R2" i="78" s="1"/>
  <c r="S2" i="78" s="1"/>
  <c r="T2" i="78" s="1"/>
  <c r="U2" i="78" s="1"/>
  <c r="V2" i="78" s="1"/>
  <c r="W2" i="78" s="1"/>
  <c r="X2" i="78" s="1"/>
  <c r="Y2" i="78" s="1"/>
  <c r="Z2" i="78" s="1"/>
  <c r="AA2" i="78" s="1"/>
  <c r="AB2" i="78" s="1"/>
  <c r="AA40" i="73"/>
  <c r="Z40" i="73"/>
  <c r="Y40" i="73"/>
  <c r="X40" i="73"/>
  <c r="W40" i="73"/>
  <c r="V40" i="73"/>
  <c r="U40" i="73"/>
  <c r="T40" i="73"/>
  <c r="S40" i="73"/>
  <c r="R40" i="73"/>
  <c r="Q40" i="73"/>
  <c r="P40" i="73"/>
  <c r="O40" i="73"/>
  <c r="N40" i="73"/>
  <c r="M40" i="73"/>
  <c r="L40" i="73"/>
  <c r="K40" i="73"/>
  <c r="J40" i="73"/>
  <c r="I40" i="73"/>
  <c r="H40" i="73"/>
  <c r="G40" i="73"/>
  <c r="F40" i="73"/>
  <c r="AA27" i="73"/>
  <c r="Z27" i="73"/>
  <c r="Y27" i="73"/>
  <c r="X27" i="73"/>
  <c r="W27" i="73"/>
  <c r="V27" i="73"/>
  <c r="U27" i="73"/>
  <c r="T27" i="73"/>
  <c r="S27" i="73"/>
  <c r="R27" i="73"/>
  <c r="Q27" i="73"/>
  <c r="P27" i="73"/>
  <c r="O27" i="73"/>
  <c r="N27" i="73"/>
  <c r="M27" i="73"/>
  <c r="L27" i="73"/>
  <c r="K27" i="73"/>
  <c r="J27" i="73"/>
  <c r="I27" i="73"/>
  <c r="H27" i="73"/>
  <c r="G27" i="73"/>
  <c r="F27" i="73"/>
  <c r="M146" i="78" l="1"/>
  <c r="M209" i="78"/>
  <c r="M169" i="78"/>
  <c r="M151" i="78"/>
  <c r="M218" i="78"/>
  <c r="M221" i="78" s="1"/>
  <c r="M162" i="78"/>
  <c r="M182" i="78" s="1"/>
  <c r="K162" i="78"/>
  <c r="K182" i="78" s="1"/>
  <c r="M201" i="78"/>
  <c r="K201" i="78"/>
  <c r="K218" i="78"/>
  <c r="K221" i="78" s="1"/>
  <c r="I33" i="78"/>
  <c r="H110" i="78"/>
  <c r="I105" i="78"/>
  <c r="I108" i="78"/>
  <c r="I96" i="78"/>
  <c r="I56" i="78"/>
  <c r="I38" i="78"/>
  <c r="I49" i="78"/>
  <c r="G49" i="78"/>
  <c r="G69" i="78" s="1"/>
  <c r="G110" i="78" s="1"/>
  <c r="I88" i="78"/>
  <c r="G88" i="78"/>
  <c r="V120" i="78"/>
  <c r="V127" i="78" s="1"/>
  <c r="T4" i="78"/>
  <c r="U127" i="78"/>
  <c r="U134" i="78" s="1"/>
  <c r="U136" i="78" s="1"/>
  <c r="H4" i="78"/>
  <c r="P4" i="78"/>
  <c r="H22" i="78"/>
  <c r="M223" i="78" l="1"/>
  <c r="M225" i="78" s="1"/>
  <c r="K223" i="78"/>
  <c r="K225" i="78" s="1"/>
  <c r="I69" i="78"/>
  <c r="I110" i="78" s="1"/>
  <c r="V134" i="78"/>
  <c r="V136" i="78" s="1"/>
  <c r="G8" i="73" l="1"/>
  <c r="H8" i="73"/>
  <c r="I8" i="73"/>
  <c r="J8" i="73"/>
  <c r="K8" i="73"/>
  <c r="L8" i="73"/>
  <c r="M8" i="73"/>
  <c r="N8" i="73"/>
  <c r="O8" i="73"/>
  <c r="P8" i="73"/>
  <c r="Q8" i="73"/>
  <c r="R8" i="73"/>
  <c r="S8" i="73"/>
  <c r="T8" i="73"/>
  <c r="U8" i="73"/>
  <c r="V8" i="73"/>
  <c r="W8" i="73"/>
  <c r="X8" i="73"/>
  <c r="Y8" i="73"/>
  <c r="Z8" i="73"/>
  <c r="AA8" i="73"/>
  <c r="N9" i="73"/>
  <c r="O9" i="73"/>
  <c r="P9" i="73"/>
  <c r="Q9" i="73"/>
  <c r="R9" i="73"/>
  <c r="S9" i="73"/>
  <c r="T9" i="73"/>
  <c r="U9" i="73"/>
  <c r="V9" i="73"/>
  <c r="W9" i="73"/>
  <c r="X9" i="73"/>
  <c r="Y9" i="73"/>
  <c r="Z9" i="73"/>
  <c r="AA9" i="73"/>
  <c r="G7" i="73"/>
  <c r="H7" i="73"/>
  <c r="I7" i="73"/>
  <c r="J7" i="73"/>
  <c r="K7" i="73"/>
  <c r="L7" i="73"/>
  <c r="M7" i="73"/>
  <c r="N7" i="73"/>
  <c r="O7" i="73"/>
  <c r="P7" i="73"/>
  <c r="Q7" i="73"/>
  <c r="R7" i="73"/>
  <c r="S7" i="73"/>
  <c r="T7" i="73"/>
  <c r="U7" i="73"/>
  <c r="V7" i="73"/>
  <c r="W7" i="73"/>
  <c r="X7" i="73"/>
  <c r="Y7" i="73"/>
  <c r="Z7" i="73"/>
  <c r="AA7" i="73"/>
  <c r="G6" i="73"/>
  <c r="H6" i="73"/>
  <c r="I6" i="73"/>
  <c r="J6" i="73"/>
  <c r="K6" i="73"/>
  <c r="L6" i="73"/>
  <c r="M6" i="73"/>
  <c r="N6" i="73"/>
  <c r="O6" i="73"/>
  <c r="P6" i="73"/>
  <c r="Q6" i="73"/>
  <c r="R6" i="73"/>
  <c r="S6" i="73"/>
  <c r="T6" i="73"/>
  <c r="U6" i="73"/>
  <c r="V6" i="73"/>
  <c r="W6" i="73"/>
  <c r="X6" i="73"/>
  <c r="Y6" i="73"/>
  <c r="Z6" i="73"/>
  <c r="AA6" i="73"/>
  <c r="G5" i="73"/>
  <c r="H5" i="73"/>
  <c r="I5" i="73"/>
  <c r="J5" i="73"/>
  <c r="K5" i="73"/>
  <c r="L5" i="73"/>
  <c r="M5" i="73"/>
  <c r="N5" i="73"/>
  <c r="O5" i="73"/>
  <c r="P5" i="73"/>
  <c r="Q5" i="73"/>
  <c r="R5" i="73"/>
  <c r="S5" i="73"/>
  <c r="T5" i="73"/>
  <c r="U5" i="73"/>
  <c r="V5" i="73"/>
  <c r="W5" i="73"/>
  <c r="X5" i="73"/>
  <c r="Y5" i="73"/>
  <c r="Z5" i="73"/>
  <c r="AA5" i="73"/>
  <c r="G4" i="73"/>
  <c r="H4" i="73"/>
  <c r="I4" i="73"/>
  <c r="J4" i="73"/>
  <c r="K4" i="73"/>
  <c r="L4" i="73"/>
  <c r="M4" i="73"/>
  <c r="N4" i="73"/>
  <c r="O4" i="73"/>
  <c r="P4" i="73"/>
  <c r="Q4" i="73"/>
  <c r="R4" i="73"/>
  <c r="S4" i="73"/>
  <c r="T4" i="73"/>
  <c r="U4" i="73"/>
  <c r="V4" i="73"/>
  <c r="W4" i="73"/>
  <c r="X4" i="73"/>
  <c r="Y4" i="73"/>
  <c r="Z4" i="73"/>
  <c r="AA4" i="73"/>
  <c r="G3" i="73"/>
  <c r="H3" i="73"/>
  <c r="I3" i="73"/>
  <c r="J3" i="73"/>
  <c r="K3" i="73"/>
  <c r="L3" i="73"/>
  <c r="M3" i="73"/>
  <c r="N3" i="73"/>
  <c r="O3" i="73"/>
  <c r="P3" i="73"/>
  <c r="Q3" i="73"/>
  <c r="R3" i="73"/>
  <c r="S3" i="73"/>
  <c r="T3" i="73"/>
  <c r="U3" i="73"/>
  <c r="F1" i="67"/>
  <c r="E1" i="67"/>
  <c r="W3" i="73" l="1"/>
  <c r="W10" i="73" s="1"/>
  <c r="V3" i="73"/>
  <c r="V10" i="73" s="1"/>
  <c r="V12" i="73" s="1"/>
  <c r="V13" i="73" s="1"/>
  <c r="Y3" i="73"/>
  <c r="Y10" i="73" s="1"/>
  <c r="Y12" i="73" s="1"/>
  <c r="Y13" i="73" s="1"/>
  <c r="AA3" i="73"/>
  <c r="AA10" i="73" s="1"/>
  <c r="AA12" i="73" s="1"/>
  <c r="AA13" i="73" s="1"/>
  <c r="Z3" i="73"/>
  <c r="Z10" i="73" s="1"/>
  <c r="Z12" i="73" s="1"/>
  <c r="Z13" i="73" s="1"/>
  <c r="P10" i="73"/>
  <c r="P12" i="73" s="1"/>
  <c r="P13" i="73" s="1"/>
  <c r="N10" i="73"/>
  <c r="N12" i="73" s="1"/>
  <c r="N13" i="73" s="1"/>
  <c r="S10" i="73"/>
  <c r="S12" i="73" s="1"/>
  <c r="S13" i="73" s="1"/>
  <c r="O10" i="73"/>
  <c r="O12" i="73" s="1"/>
  <c r="O13" i="73" s="1"/>
  <c r="U10" i="73"/>
  <c r="U12" i="73" s="1"/>
  <c r="U13" i="73" s="1"/>
  <c r="T10" i="73"/>
  <c r="T12" i="73" s="1"/>
  <c r="T13" i="73" s="1"/>
  <c r="R10" i="73"/>
  <c r="Q10" i="73"/>
  <c r="Q12" i="73" s="1"/>
  <c r="Q13" i="73" s="1"/>
  <c r="R12" i="73" l="1"/>
  <c r="R13" i="73" s="1"/>
  <c r="W12" i="73"/>
  <c r="W13" i="73" s="1"/>
  <c r="F5" i="67" l="1"/>
  <c r="G5" i="67"/>
  <c r="H5" i="67"/>
  <c r="I5" i="67"/>
  <c r="J5" i="67"/>
  <c r="K5" i="67"/>
  <c r="L5" i="67"/>
  <c r="M5" i="67"/>
  <c r="N5" i="67"/>
  <c r="O5" i="67"/>
  <c r="P5" i="67"/>
  <c r="Q5" i="67"/>
  <c r="R5" i="67"/>
  <c r="S6" i="67"/>
  <c r="S5" i="67" s="1"/>
  <c r="T6" i="67"/>
  <c r="T5" i="67" s="1"/>
  <c r="U6" i="67"/>
  <c r="U5" i="67" s="1"/>
  <c r="V6" i="67"/>
  <c r="V5" i="67" s="1"/>
  <c r="W6" i="67"/>
  <c r="W5" i="67" s="1"/>
  <c r="X6" i="67"/>
  <c r="X5" i="67" s="1"/>
  <c r="Y6" i="67"/>
  <c r="Y5" i="67" s="1"/>
  <c r="Z6" i="67"/>
  <c r="Z5" i="67" s="1"/>
  <c r="AA6" i="67"/>
  <c r="AA5" i="67" s="1"/>
  <c r="F7" i="67"/>
  <c r="G7" i="67"/>
  <c r="H7" i="67"/>
  <c r="I7" i="67"/>
  <c r="J7" i="67"/>
  <c r="K7" i="67"/>
  <c r="L7" i="67"/>
  <c r="M7" i="67"/>
  <c r="N7" i="67"/>
  <c r="O7" i="67"/>
  <c r="P7" i="67"/>
  <c r="Q7" i="67"/>
  <c r="R7" i="67"/>
  <c r="S7" i="67"/>
  <c r="T7" i="67"/>
  <c r="U7" i="67"/>
  <c r="V7" i="67"/>
  <c r="W7" i="67"/>
  <c r="X7" i="67"/>
  <c r="Y7" i="67"/>
  <c r="Z7" i="67"/>
  <c r="AA7" i="67"/>
  <c r="F8" i="67"/>
  <c r="G8" i="67"/>
  <c r="H8" i="67"/>
  <c r="I8" i="67"/>
  <c r="J8" i="67"/>
  <c r="K8" i="67"/>
  <c r="L8" i="67"/>
  <c r="M8" i="67"/>
  <c r="N8" i="67"/>
  <c r="O8" i="67"/>
  <c r="P8" i="67"/>
  <c r="Q8" i="67"/>
  <c r="R8" i="67"/>
  <c r="S8" i="67"/>
  <c r="T8" i="67"/>
  <c r="U8" i="67"/>
  <c r="V8" i="67"/>
  <c r="W8" i="67"/>
  <c r="X8" i="67"/>
  <c r="Y8" i="67"/>
  <c r="Z8" i="67"/>
  <c r="AA8" i="67"/>
  <c r="G9" i="67"/>
  <c r="H9" i="67"/>
  <c r="I9" i="67"/>
  <c r="J9" i="67"/>
  <c r="K9" i="67"/>
  <c r="L9" i="67"/>
  <c r="M9" i="67"/>
  <c r="N9" i="67"/>
  <c r="O9" i="67"/>
  <c r="P9" i="67"/>
  <c r="Q9" i="67"/>
  <c r="R9" i="67"/>
  <c r="S9" i="67"/>
  <c r="U9" i="67"/>
  <c r="V9" i="67"/>
  <c r="W9" i="67"/>
  <c r="X9" i="67"/>
  <c r="Y9" i="67"/>
  <c r="Z9" i="67"/>
  <c r="AA9" i="67"/>
  <c r="F10" i="67"/>
  <c r="G10" i="67"/>
  <c r="H10" i="67"/>
  <c r="I10" i="67"/>
  <c r="J10" i="67"/>
  <c r="K10" i="67"/>
  <c r="L10" i="67"/>
  <c r="M10" i="67"/>
  <c r="N10" i="67"/>
  <c r="O10" i="67"/>
  <c r="P10" i="67"/>
  <c r="Q10" i="67"/>
  <c r="R10" i="67"/>
  <c r="S10" i="67"/>
  <c r="T10" i="67"/>
  <c r="U10" i="67"/>
  <c r="V10" i="67"/>
  <c r="W10" i="67"/>
  <c r="X10" i="67"/>
  <c r="Y10" i="67"/>
  <c r="Z10" i="67"/>
  <c r="AA10" i="67"/>
  <c r="F12" i="67"/>
  <c r="G12" i="67"/>
  <c r="H12" i="67"/>
  <c r="I12" i="67"/>
  <c r="J12" i="67"/>
  <c r="K12" i="67"/>
  <c r="L12" i="67"/>
  <c r="M12" i="67"/>
  <c r="N12" i="67"/>
  <c r="O12" i="67"/>
  <c r="P12" i="67"/>
  <c r="Q12" i="67"/>
  <c r="R12" i="67"/>
  <c r="T12" i="67"/>
  <c r="U12" i="67"/>
  <c r="V12" i="67"/>
  <c r="W12" i="67"/>
  <c r="X12" i="67"/>
  <c r="Y12" i="67"/>
  <c r="Z12" i="67"/>
  <c r="AA12" i="67"/>
  <c r="F13" i="67"/>
  <c r="G13" i="67"/>
  <c r="H13" i="67"/>
  <c r="I13" i="67"/>
  <c r="J13" i="67"/>
  <c r="K13" i="67"/>
  <c r="L13" i="67"/>
  <c r="M13" i="67"/>
  <c r="P13" i="67"/>
  <c r="Q13" i="67"/>
  <c r="R13" i="67"/>
  <c r="S13" i="67"/>
  <c r="T13" i="67"/>
  <c r="U13" i="67"/>
  <c r="V13" i="67"/>
  <c r="W13" i="67"/>
  <c r="X13" i="67"/>
  <c r="Y13" i="67"/>
  <c r="Z13" i="67"/>
  <c r="AA13" i="67"/>
  <c r="F14" i="67"/>
  <c r="G14" i="67"/>
  <c r="H14" i="67"/>
  <c r="I14" i="67"/>
  <c r="J14" i="67"/>
  <c r="K14" i="67"/>
  <c r="L14" i="67"/>
  <c r="M14" i="67"/>
  <c r="N14" i="67"/>
  <c r="O14" i="67"/>
  <c r="P14" i="67"/>
  <c r="Q14" i="67"/>
  <c r="R14" i="67"/>
  <c r="S14" i="67"/>
  <c r="T14" i="67"/>
  <c r="U14" i="67"/>
  <c r="V14" i="67"/>
  <c r="W14" i="67"/>
  <c r="X14" i="67"/>
  <c r="Y14" i="67"/>
  <c r="Z14" i="67"/>
  <c r="AA14" i="67"/>
  <c r="F16" i="67"/>
  <c r="G16" i="67"/>
  <c r="H16" i="67"/>
  <c r="I16" i="67"/>
  <c r="J16" i="67"/>
  <c r="K16" i="67"/>
  <c r="L16" i="67"/>
  <c r="M16" i="67"/>
  <c r="N16" i="67"/>
  <c r="O16" i="67"/>
  <c r="P16" i="67"/>
  <c r="Q16" i="67"/>
  <c r="R16" i="67"/>
  <c r="S16" i="67"/>
  <c r="T16" i="67"/>
  <c r="U16" i="67"/>
  <c r="V16" i="67"/>
  <c r="W16" i="67"/>
  <c r="X16" i="67"/>
  <c r="Y16" i="67"/>
  <c r="Z16" i="67"/>
  <c r="AA16" i="67"/>
  <c r="F17" i="67"/>
  <c r="G17" i="67"/>
  <c r="H17" i="67"/>
  <c r="I17" i="67"/>
  <c r="J17" i="67"/>
  <c r="K17" i="67"/>
  <c r="L17" i="67"/>
  <c r="M17" i="67"/>
  <c r="N17" i="67"/>
  <c r="O17" i="67"/>
  <c r="P17" i="67"/>
  <c r="Q17" i="67"/>
  <c r="R17" i="67"/>
  <c r="S17" i="67"/>
  <c r="T17" i="67"/>
  <c r="U17" i="67"/>
  <c r="V17" i="67"/>
  <c r="W17" i="67"/>
  <c r="X17" i="67"/>
  <c r="Y17" i="67"/>
  <c r="Z17" i="67"/>
  <c r="AA17" i="67"/>
  <c r="F18" i="67"/>
  <c r="G18" i="67"/>
  <c r="H18" i="67"/>
  <c r="I18" i="67"/>
  <c r="J18" i="67"/>
  <c r="K18" i="67"/>
  <c r="L18" i="67"/>
  <c r="M18" i="67"/>
  <c r="N18" i="67"/>
  <c r="O18" i="67"/>
  <c r="P18" i="67"/>
  <c r="Q18" i="67"/>
  <c r="R18" i="67"/>
  <c r="S18" i="67"/>
  <c r="T18" i="67"/>
  <c r="U18" i="67"/>
  <c r="V18" i="67"/>
  <c r="W18" i="67"/>
  <c r="X18" i="67"/>
  <c r="Y18" i="67"/>
  <c r="Z18" i="67"/>
  <c r="AA18" i="67"/>
  <c r="F19" i="67"/>
  <c r="G19" i="67"/>
  <c r="H19" i="67"/>
  <c r="I19" i="67"/>
  <c r="J19" i="67"/>
  <c r="K19" i="67"/>
  <c r="L19" i="67"/>
  <c r="M19" i="67"/>
  <c r="N19" i="67"/>
  <c r="O19" i="67"/>
  <c r="P19" i="67"/>
  <c r="Q19" i="67"/>
  <c r="R19" i="67"/>
  <c r="S19" i="67"/>
  <c r="T19" i="67"/>
  <c r="U19" i="67"/>
  <c r="V19" i="67"/>
  <c r="W19" i="67"/>
  <c r="X19" i="67"/>
  <c r="Y19" i="67"/>
  <c r="Z19" i="67"/>
  <c r="AA19" i="67"/>
  <c r="F20" i="67"/>
  <c r="G20" i="67"/>
  <c r="H20" i="67"/>
  <c r="I20" i="67"/>
  <c r="L20" i="67"/>
  <c r="M20" i="67"/>
  <c r="N20" i="67"/>
  <c r="O20" i="67"/>
  <c r="P20" i="67"/>
  <c r="Q20" i="67"/>
  <c r="R20" i="67"/>
  <c r="S20" i="67"/>
  <c r="T20" i="67"/>
  <c r="U20" i="67"/>
  <c r="V20" i="67"/>
  <c r="W20" i="67"/>
  <c r="X20" i="67"/>
  <c r="Y20" i="67"/>
  <c r="Z20" i="67"/>
  <c r="AA20" i="67"/>
  <c r="F22" i="67"/>
  <c r="G22" i="67"/>
  <c r="H22" i="67"/>
  <c r="I22" i="67"/>
  <c r="J22" i="67"/>
  <c r="K22" i="67"/>
  <c r="L22" i="67"/>
  <c r="M22" i="67"/>
  <c r="N22" i="67"/>
  <c r="O22" i="67"/>
  <c r="P22" i="67"/>
  <c r="Q22" i="67"/>
  <c r="R22" i="67"/>
  <c r="S22" i="67"/>
  <c r="T22" i="67"/>
  <c r="U22" i="67"/>
  <c r="V22" i="67"/>
  <c r="W22" i="67"/>
  <c r="X22" i="67"/>
  <c r="Y22" i="67"/>
  <c r="Z22" i="67"/>
  <c r="AA22" i="67"/>
  <c r="J24" i="67"/>
  <c r="M25" i="67"/>
  <c r="F26" i="67"/>
  <c r="G26" i="67"/>
  <c r="H26" i="67"/>
  <c r="I26" i="67"/>
  <c r="M26" i="67"/>
  <c r="N26" i="67"/>
  <c r="O26" i="67"/>
  <c r="P26" i="67"/>
  <c r="Q26" i="67"/>
  <c r="R26" i="67"/>
  <c r="S26" i="67"/>
  <c r="T26" i="67"/>
  <c r="U26" i="67"/>
  <c r="V26" i="67"/>
  <c r="W26" i="67"/>
  <c r="X26" i="67"/>
  <c r="Y26" i="67"/>
  <c r="Z26" i="67"/>
  <c r="F27" i="67"/>
  <c r="G27" i="67"/>
  <c r="H27" i="67"/>
  <c r="I27" i="67"/>
  <c r="J27" i="67"/>
  <c r="K27" i="67"/>
  <c r="L27" i="67"/>
  <c r="M27" i="67"/>
  <c r="N27" i="67"/>
  <c r="O27" i="67"/>
  <c r="P27" i="67"/>
  <c r="Q27" i="67"/>
  <c r="R27" i="67"/>
  <c r="S27" i="67"/>
  <c r="T27" i="67"/>
  <c r="U27" i="67"/>
  <c r="V27" i="67"/>
  <c r="W27" i="67"/>
  <c r="X27" i="67"/>
  <c r="Y27" i="67"/>
  <c r="Z27" i="67"/>
  <c r="AA27" i="67"/>
  <c r="E38" i="67"/>
  <c r="F38" i="67"/>
  <c r="L38" i="67"/>
  <c r="G39" i="67"/>
  <c r="H39" i="67" s="1"/>
  <c r="I39" i="67" s="1"/>
  <c r="J39" i="67" s="1"/>
  <c r="K39" i="67" s="1"/>
  <c r="L39" i="67" s="1"/>
  <c r="M39" i="67" s="1"/>
  <c r="N39" i="67" s="1"/>
  <c r="O39" i="67" s="1"/>
  <c r="P39" i="67" s="1"/>
  <c r="Q39" i="67" s="1"/>
  <c r="R39" i="67" s="1"/>
  <c r="S39" i="67" s="1"/>
  <c r="T39" i="67" s="1"/>
  <c r="U39" i="67" s="1"/>
  <c r="V39" i="67" s="1"/>
  <c r="W39" i="67" s="1"/>
  <c r="X39" i="67" s="1"/>
  <c r="Y39" i="67" s="1"/>
  <c r="Z39" i="67" s="1"/>
  <c r="AA39" i="67" s="1"/>
  <c r="F40" i="67"/>
  <c r="G40" i="67"/>
  <c r="H40" i="67"/>
  <c r="I40" i="67"/>
  <c r="J40" i="67"/>
  <c r="K40" i="67"/>
  <c r="L40" i="67"/>
  <c r="M40" i="67"/>
  <c r="N40" i="67"/>
  <c r="O40" i="67"/>
  <c r="P40" i="67"/>
  <c r="Q40" i="67"/>
  <c r="R40" i="67"/>
  <c r="S40" i="67"/>
  <c r="T40" i="67"/>
  <c r="U40" i="67"/>
  <c r="V40" i="67"/>
  <c r="W40" i="67"/>
  <c r="X40" i="67"/>
  <c r="Y40" i="67"/>
  <c r="Z40" i="67"/>
  <c r="AA40" i="67"/>
  <c r="F41" i="67"/>
  <c r="G41" i="67"/>
  <c r="H41" i="67"/>
  <c r="I41" i="67"/>
  <c r="J41" i="67"/>
  <c r="K41" i="67"/>
  <c r="L41" i="67"/>
  <c r="M41" i="67"/>
  <c r="N41" i="67"/>
  <c r="O41" i="67"/>
  <c r="P41" i="67"/>
  <c r="Q41" i="67"/>
  <c r="R41" i="67"/>
  <c r="S41" i="67"/>
  <c r="T41" i="67"/>
  <c r="U41" i="67"/>
  <c r="V41" i="67"/>
  <c r="W41" i="67"/>
  <c r="X41" i="67"/>
  <c r="Y41" i="67"/>
  <c r="Z41" i="67"/>
  <c r="AA41" i="67"/>
  <c r="F42" i="67"/>
  <c r="G42" i="67"/>
  <c r="H42" i="67"/>
  <c r="I42" i="67"/>
  <c r="J42" i="67"/>
  <c r="K42" i="67"/>
  <c r="L42" i="67"/>
  <c r="M42" i="67"/>
  <c r="N42" i="67"/>
  <c r="O42" i="67"/>
  <c r="P42" i="67"/>
  <c r="Q42" i="67"/>
  <c r="R42" i="67"/>
  <c r="S42" i="67"/>
  <c r="T42" i="67"/>
  <c r="U42" i="67"/>
  <c r="V42" i="67"/>
  <c r="W42" i="67"/>
  <c r="X42" i="67"/>
  <c r="Y42" i="67"/>
  <c r="Z42" i="67"/>
  <c r="AA42" i="67"/>
  <c r="F43" i="67"/>
  <c r="G43" i="67"/>
  <c r="H43" i="67"/>
  <c r="I43" i="67"/>
  <c r="J43" i="67"/>
  <c r="K43" i="67"/>
  <c r="L43" i="67"/>
  <c r="M43" i="67"/>
  <c r="N43" i="67"/>
  <c r="O43" i="67"/>
  <c r="P43" i="67"/>
  <c r="Q43" i="67"/>
  <c r="R43" i="67"/>
  <c r="S43" i="67"/>
  <c r="T43" i="67"/>
  <c r="U43" i="67"/>
  <c r="V43" i="67"/>
  <c r="W43" i="67"/>
  <c r="X43" i="67"/>
  <c r="Y43" i="67"/>
  <c r="Z43" i="67"/>
  <c r="AA43" i="67"/>
  <c r="F44" i="67"/>
  <c r="G44" i="67"/>
  <c r="H44" i="67"/>
  <c r="I44" i="67"/>
  <c r="J44" i="67"/>
  <c r="K44" i="67"/>
  <c r="L44" i="67"/>
  <c r="M44" i="67"/>
  <c r="N44" i="67"/>
  <c r="O44" i="67"/>
  <c r="P44" i="67"/>
  <c r="Q44" i="67"/>
  <c r="R44" i="67"/>
  <c r="S44" i="67"/>
  <c r="T44" i="67"/>
  <c r="U44" i="67"/>
  <c r="V44" i="67"/>
  <c r="W44" i="67"/>
  <c r="X44" i="67"/>
  <c r="Y44" i="67"/>
  <c r="Z44" i="67"/>
  <c r="AA44" i="67"/>
  <c r="F45" i="67"/>
  <c r="G45" i="67"/>
  <c r="H45" i="67"/>
  <c r="I45" i="67"/>
  <c r="J45" i="67"/>
  <c r="K45" i="67"/>
  <c r="L45" i="67"/>
  <c r="M45" i="67"/>
  <c r="N45" i="67"/>
  <c r="Q45" i="67"/>
  <c r="R45" i="67"/>
  <c r="S45" i="67"/>
  <c r="T45" i="67"/>
  <c r="U45" i="67"/>
  <c r="V45" i="67"/>
  <c r="W45" i="67"/>
  <c r="X45" i="67"/>
  <c r="Y45" i="67"/>
  <c r="Z45" i="67"/>
  <c r="AA45" i="67"/>
  <c r="F46" i="67"/>
  <c r="G46" i="67"/>
  <c r="H46" i="67"/>
  <c r="I46" i="67"/>
  <c r="J46" i="67"/>
  <c r="K46" i="67"/>
  <c r="L46" i="67"/>
  <c r="M46" i="67"/>
  <c r="N46" i="67"/>
  <c r="O46" i="67"/>
  <c r="P46" i="67"/>
  <c r="Q46" i="67"/>
  <c r="R46" i="67"/>
  <c r="S46" i="67"/>
  <c r="T46" i="67"/>
  <c r="U46" i="67"/>
  <c r="V46" i="67"/>
  <c r="W46" i="67"/>
  <c r="X46" i="67"/>
  <c r="Y46" i="67"/>
  <c r="Z46" i="67"/>
  <c r="AA46" i="67"/>
  <c r="F48" i="67"/>
  <c r="G48" i="67"/>
  <c r="H48" i="67"/>
  <c r="I48" i="67"/>
  <c r="J48" i="67"/>
  <c r="K48" i="67"/>
  <c r="L48" i="67"/>
  <c r="M48" i="67"/>
  <c r="N48" i="67"/>
  <c r="O48" i="67"/>
  <c r="P48" i="67"/>
  <c r="Q48" i="67"/>
  <c r="R48" i="67"/>
  <c r="S48" i="67"/>
  <c r="T48" i="67"/>
  <c r="U48" i="67"/>
  <c r="V48" i="67"/>
  <c r="W48" i="67"/>
  <c r="X48" i="67"/>
  <c r="Y48" i="67"/>
  <c r="Z48" i="67"/>
  <c r="AA48" i="67"/>
  <c r="F49" i="67"/>
  <c r="G49" i="67"/>
  <c r="H49" i="67"/>
  <c r="I49" i="67"/>
  <c r="J49" i="67"/>
  <c r="K49" i="67"/>
  <c r="L49" i="67"/>
  <c r="M49" i="67"/>
  <c r="N49" i="67"/>
  <c r="O49" i="67"/>
  <c r="P49" i="67"/>
  <c r="Q49" i="67"/>
  <c r="R49" i="67"/>
  <c r="S49" i="67"/>
  <c r="T49" i="67"/>
  <c r="U49" i="67"/>
  <c r="V49" i="67"/>
  <c r="W49" i="67"/>
  <c r="X49" i="67"/>
  <c r="Y49" i="67"/>
  <c r="Z49" i="67"/>
  <c r="AA49" i="67"/>
  <c r="F50" i="67"/>
  <c r="G50" i="67"/>
  <c r="H50" i="67"/>
  <c r="I50" i="67"/>
  <c r="J50" i="67"/>
  <c r="K50" i="67"/>
  <c r="L50" i="67"/>
  <c r="M50" i="67"/>
  <c r="N50" i="67"/>
  <c r="O50" i="67"/>
  <c r="P50" i="67"/>
  <c r="Q50" i="67"/>
  <c r="R50" i="67"/>
  <c r="S50" i="67"/>
  <c r="T50" i="67"/>
  <c r="U50" i="67"/>
  <c r="V50" i="67"/>
  <c r="W50" i="67"/>
  <c r="X50" i="67"/>
  <c r="Y50" i="67"/>
  <c r="Z50" i="67"/>
  <c r="AA50" i="67"/>
  <c r="F52" i="67"/>
  <c r="F54" i="67" s="1"/>
  <c r="G52" i="67"/>
  <c r="H52" i="67"/>
  <c r="H54" i="67" s="1"/>
  <c r="I52" i="67"/>
  <c r="I54" i="67" s="1"/>
  <c r="J52" i="67"/>
  <c r="J54" i="67" s="1"/>
  <c r="K52" i="67"/>
  <c r="L52" i="67"/>
  <c r="M52" i="67"/>
  <c r="N52" i="67"/>
  <c r="N54" i="67" s="1"/>
  <c r="O52" i="67"/>
  <c r="P52" i="67"/>
  <c r="P54" i="67" s="1"/>
  <c r="Q52" i="67"/>
  <c r="R52" i="67"/>
  <c r="S52" i="67"/>
  <c r="T52" i="67"/>
  <c r="U52" i="67"/>
  <c r="V52" i="67"/>
  <c r="W52" i="67"/>
  <c r="X52" i="67"/>
  <c r="Y52" i="67"/>
  <c r="Y54" i="67" s="1"/>
  <c r="Z52" i="67"/>
  <c r="Z54" i="67" s="1"/>
  <c r="AA52" i="67"/>
  <c r="AA54" i="67" s="1"/>
  <c r="M53" i="67"/>
  <c r="Q53" i="67"/>
  <c r="R53" i="67"/>
  <c r="S53" i="67"/>
  <c r="T53" i="67"/>
  <c r="U53" i="67"/>
  <c r="V53" i="67"/>
  <c r="W53" i="67"/>
  <c r="X53" i="67"/>
  <c r="M55" i="67"/>
  <c r="F56" i="67"/>
  <c r="G56" i="67"/>
  <c r="H56" i="67"/>
  <c r="I56" i="67"/>
  <c r="J56" i="67"/>
  <c r="K56" i="67"/>
  <c r="L56" i="67"/>
  <c r="M56" i="67"/>
  <c r="N56" i="67"/>
  <c r="O56" i="67"/>
  <c r="P56" i="67"/>
  <c r="Q56" i="67"/>
  <c r="R56" i="67"/>
  <c r="S56" i="67"/>
  <c r="T56" i="67"/>
  <c r="U56" i="67"/>
  <c r="V56" i="67"/>
  <c r="W56" i="67"/>
  <c r="X56" i="67"/>
  <c r="Y56" i="67"/>
  <c r="Z56" i="67"/>
  <c r="AA56" i="67"/>
  <c r="F57" i="67"/>
  <c r="G57" i="67"/>
  <c r="H57" i="67"/>
  <c r="I57" i="67"/>
  <c r="J57" i="67"/>
  <c r="K57" i="67"/>
  <c r="M57" i="67"/>
  <c r="N57" i="67"/>
  <c r="O57" i="67"/>
  <c r="P57" i="67"/>
  <c r="Q57" i="67"/>
  <c r="R57" i="67"/>
  <c r="S57" i="67"/>
  <c r="T57" i="67"/>
  <c r="U57" i="67"/>
  <c r="V57" i="67"/>
  <c r="W57" i="67"/>
  <c r="X57" i="67"/>
  <c r="Y57" i="67"/>
  <c r="Z57" i="67"/>
  <c r="AA57" i="67"/>
  <c r="F60" i="67"/>
  <c r="G60" i="67"/>
  <c r="H60" i="67"/>
  <c r="J60" i="67"/>
  <c r="K60" i="67"/>
  <c r="L60" i="67"/>
  <c r="M60" i="67"/>
  <c r="N60" i="67"/>
  <c r="O60" i="67"/>
  <c r="P60" i="67"/>
  <c r="Q60" i="67"/>
  <c r="R60" i="67"/>
  <c r="S60" i="67"/>
  <c r="T60" i="67"/>
  <c r="U60" i="67"/>
  <c r="V60" i="67"/>
  <c r="W60" i="67"/>
  <c r="X60" i="67"/>
  <c r="Y60" i="67"/>
  <c r="Z60" i="67"/>
  <c r="AA60" i="67"/>
  <c r="F62" i="67"/>
  <c r="F63" i="67" s="1"/>
  <c r="F65" i="67" s="1"/>
  <c r="G62" i="67"/>
  <c r="H62" i="67"/>
  <c r="H63" i="67" s="1"/>
  <c r="H65" i="67" s="1"/>
  <c r="I62" i="67"/>
  <c r="J62" i="67"/>
  <c r="K62" i="67"/>
  <c r="K63" i="67" s="1"/>
  <c r="K65" i="67" s="1"/>
  <c r="L62" i="67"/>
  <c r="N62" i="67"/>
  <c r="N63" i="67" s="1"/>
  <c r="N65" i="67" s="1"/>
  <c r="O62" i="67"/>
  <c r="P62" i="67"/>
  <c r="P63" i="67" s="1"/>
  <c r="P65" i="67" s="1"/>
  <c r="Q62" i="67"/>
  <c r="Q63" i="67" s="1"/>
  <c r="Q65" i="67" s="1"/>
  <c r="R62" i="67"/>
  <c r="R63" i="67" s="1"/>
  <c r="R65" i="67" s="1"/>
  <c r="S62" i="67"/>
  <c r="T62" i="67"/>
  <c r="U62" i="67"/>
  <c r="U63" i="67" s="1"/>
  <c r="U65" i="67" s="1"/>
  <c r="V62" i="67"/>
  <c r="V63" i="67" s="1"/>
  <c r="V65" i="67" s="1"/>
  <c r="W62" i="67"/>
  <c r="X62" i="67"/>
  <c r="X63" i="67" s="1"/>
  <c r="X65" i="67" s="1"/>
  <c r="Y62" i="67"/>
  <c r="Y63" i="67" s="1"/>
  <c r="Y65" i="67" s="1"/>
  <c r="Z62" i="67"/>
  <c r="Z63" i="67" s="1"/>
  <c r="Z65" i="67" s="1"/>
  <c r="AA62" i="67"/>
  <c r="F66" i="67"/>
  <c r="G66" i="67"/>
  <c r="H66" i="67"/>
  <c r="K66" i="67"/>
  <c r="L66" i="67"/>
  <c r="M66" i="67"/>
  <c r="N66" i="67"/>
  <c r="O66" i="67"/>
  <c r="P66" i="67"/>
  <c r="Q66" i="67"/>
  <c r="R66" i="67"/>
  <c r="S66" i="67"/>
  <c r="T66" i="67"/>
  <c r="U66" i="67"/>
  <c r="V66" i="67"/>
  <c r="W66" i="67"/>
  <c r="X66" i="67"/>
  <c r="Y66" i="67"/>
  <c r="Z66" i="67"/>
  <c r="AA66" i="67"/>
  <c r="F67" i="67"/>
  <c r="G67" i="67"/>
  <c r="H67" i="67"/>
  <c r="I67" i="67"/>
  <c r="J67" i="67"/>
  <c r="K67" i="67"/>
  <c r="L67" i="67"/>
  <c r="M67" i="67"/>
  <c r="N67" i="67"/>
  <c r="O67" i="67"/>
  <c r="P67" i="67"/>
  <c r="Q67" i="67"/>
  <c r="R67" i="67"/>
  <c r="S67" i="67"/>
  <c r="T67" i="67"/>
  <c r="U67" i="67"/>
  <c r="V67" i="67"/>
  <c r="W67" i="67"/>
  <c r="X67" i="67"/>
  <c r="Y67" i="67"/>
  <c r="Z67" i="67"/>
  <c r="AA67" i="67"/>
  <c r="F68" i="67"/>
  <c r="G68" i="67"/>
  <c r="H68" i="67"/>
  <c r="I68" i="67"/>
  <c r="J68" i="67"/>
  <c r="K68" i="67"/>
  <c r="L68" i="67"/>
  <c r="M68" i="67"/>
  <c r="N68" i="67"/>
  <c r="O68" i="67"/>
  <c r="P68" i="67"/>
  <c r="Q68" i="67"/>
  <c r="R68" i="67"/>
  <c r="S68" i="67"/>
  <c r="T68" i="67"/>
  <c r="U68" i="67"/>
  <c r="V68" i="67"/>
  <c r="W68" i="67"/>
  <c r="X68" i="67"/>
  <c r="Y68" i="67"/>
  <c r="Z68" i="67"/>
  <c r="AA68" i="67"/>
  <c r="F69" i="67"/>
  <c r="G69" i="67"/>
  <c r="H69" i="67"/>
  <c r="I69" i="67"/>
  <c r="J69" i="67"/>
  <c r="K69" i="67"/>
  <c r="L69" i="67"/>
  <c r="M69" i="67"/>
  <c r="N69" i="67"/>
  <c r="O69" i="67"/>
  <c r="P69" i="67"/>
  <c r="Q69" i="67"/>
  <c r="R69" i="67"/>
  <c r="S69" i="67"/>
  <c r="T69" i="67"/>
  <c r="U69" i="67"/>
  <c r="V69" i="67"/>
  <c r="W69" i="67"/>
  <c r="X69" i="67"/>
  <c r="Y69" i="67"/>
  <c r="Z69" i="67"/>
  <c r="AA69" i="67"/>
  <c r="F70" i="67"/>
  <c r="G70" i="67"/>
  <c r="H70" i="67"/>
  <c r="I70" i="67"/>
  <c r="J70" i="67"/>
  <c r="K70" i="67"/>
  <c r="L70" i="67"/>
  <c r="M70" i="67"/>
  <c r="N70" i="67"/>
  <c r="O70" i="67"/>
  <c r="P70" i="67"/>
  <c r="Q70" i="67"/>
  <c r="R70" i="67"/>
  <c r="S70" i="67"/>
  <c r="T70" i="67"/>
  <c r="U70" i="67"/>
  <c r="V70" i="67"/>
  <c r="W70" i="67"/>
  <c r="X70" i="67"/>
  <c r="Y70" i="67"/>
  <c r="Z70" i="67"/>
  <c r="AA70" i="67"/>
  <c r="F72" i="67"/>
  <c r="G72" i="67"/>
  <c r="H72" i="67"/>
  <c r="I72" i="67"/>
  <c r="J72" i="67"/>
  <c r="K72" i="67"/>
  <c r="L72" i="67"/>
  <c r="M72" i="67"/>
  <c r="N72" i="67"/>
  <c r="P72" i="67"/>
  <c r="Q72" i="67"/>
  <c r="R72" i="67"/>
  <c r="S72" i="67"/>
  <c r="T72" i="67"/>
  <c r="U72" i="67"/>
  <c r="V72" i="67"/>
  <c r="W72" i="67"/>
  <c r="X72" i="67"/>
  <c r="Y72" i="67"/>
  <c r="Z72" i="67"/>
  <c r="AA72" i="67"/>
  <c r="F73" i="67"/>
  <c r="G73" i="67"/>
  <c r="H73" i="67"/>
  <c r="I73" i="67"/>
  <c r="J73" i="67"/>
  <c r="K73" i="67"/>
  <c r="L73" i="67"/>
  <c r="M73" i="67"/>
  <c r="N73" i="67"/>
  <c r="O73" i="67"/>
  <c r="P73" i="67"/>
  <c r="Q73" i="67"/>
  <c r="R73" i="67"/>
  <c r="S73" i="67"/>
  <c r="T73" i="67"/>
  <c r="U73" i="67"/>
  <c r="V73" i="67"/>
  <c r="W73" i="67"/>
  <c r="X73" i="67"/>
  <c r="Y73" i="67"/>
  <c r="Z73" i="67"/>
  <c r="AA73" i="67"/>
  <c r="O72" i="67"/>
  <c r="G55" i="67"/>
  <c r="K47" i="67"/>
  <c r="P45" i="67"/>
  <c r="L25" i="67"/>
  <c r="K25" i="67"/>
  <c r="H25" i="67"/>
  <c r="G25" i="67"/>
  <c r="M21" i="67"/>
  <c r="L21" i="67"/>
  <c r="K21" i="67"/>
  <c r="H21" i="67"/>
  <c r="G21" i="67"/>
  <c r="K20" i="67"/>
  <c r="J20" i="67"/>
  <c r="S12" i="67"/>
  <c r="O3" i="67"/>
  <c r="P3" i="67" s="1"/>
  <c r="Q3" i="67" s="1"/>
  <c r="R3" i="67" s="1"/>
  <c r="S3" i="67" s="1"/>
  <c r="T3" i="67" s="1"/>
  <c r="U3" i="67" s="1"/>
  <c r="V3" i="67" s="1"/>
  <c r="W3" i="67" s="1"/>
  <c r="X3" i="67" s="1"/>
  <c r="Y3" i="67" s="1"/>
  <c r="Z3" i="67" s="1"/>
  <c r="AA3" i="67" s="1"/>
  <c r="G3" i="67"/>
  <c r="H3" i="67" s="1"/>
  <c r="I3" i="67" s="1"/>
  <c r="J3" i="67" s="1"/>
  <c r="K3" i="67" s="1"/>
  <c r="L3" i="67" s="1"/>
  <c r="M3" i="67" s="1"/>
  <c r="G2" i="67"/>
  <c r="H2" i="67" s="1"/>
  <c r="I2" i="67" s="1"/>
  <c r="J2" i="67" s="1"/>
  <c r="K2" i="67" s="1"/>
  <c r="L2" i="67" s="1"/>
  <c r="M2" i="67" s="1"/>
  <c r="N2" i="67" s="1"/>
  <c r="O2" i="67" s="1"/>
  <c r="P2" i="67" s="1"/>
  <c r="Q2" i="67" s="1"/>
  <c r="R2" i="67" s="1"/>
  <c r="S2" i="67" s="1"/>
  <c r="T2" i="67" s="1"/>
  <c r="U2" i="67" s="1"/>
  <c r="V2" i="67" s="1"/>
  <c r="W2" i="67" s="1"/>
  <c r="X2" i="67" s="1"/>
  <c r="Y2" i="67" s="1"/>
  <c r="Z2" i="67" s="1"/>
  <c r="AA2" i="67" s="1"/>
  <c r="P1" i="67"/>
  <c r="L1" i="67"/>
  <c r="AA1" i="42"/>
  <c r="P1" i="42"/>
  <c r="F1" i="42"/>
  <c r="E1" i="42"/>
  <c r="O3" i="42"/>
  <c r="P3" i="42"/>
  <c r="Q3" i="42"/>
  <c r="R3" i="42"/>
  <c r="S3" i="42"/>
  <c r="T3" i="42"/>
  <c r="U3" i="42"/>
  <c r="V3" i="42"/>
  <c r="W3" i="42"/>
  <c r="X3" i="42"/>
  <c r="Y3" i="42"/>
  <c r="Z3" i="42"/>
  <c r="AA3" i="42"/>
  <c r="G3" i="42"/>
  <c r="H3" i="42"/>
  <c r="I3" i="42"/>
  <c r="J3" i="42"/>
  <c r="K3" i="42"/>
  <c r="L3" i="42"/>
  <c r="M3" i="42"/>
  <c r="H2" i="42"/>
  <c r="I2" i="42"/>
  <c r="J2" i="42"/>
  <c r="K2" i="42"/>
  <c r="L2" i="42"/>
  <c r="M2" i="42"/>
  <c r="N2" i="42"/>
  <c r="O2" i="42"/>
  <c r="P2" i="42"/>
  <c r="Q2" i="42"/>
  <c r="R2" i="42"/>
  <c r="S2" i="42"/>
  <c r="T2" i="42"/>
  <c r="U2" i="42"/>
  <c r="V2" i="42"/>
  <c r="W2" i="42"/>
  <c r="X2" i="42"/>
  <c r="Y2" i="42"/>
  <c r="Z2" i="42"/>
  <c r="AA2" i="42"/>
  <c r="G2" i="42"/>
  <c r="P3" i="23"/>
  <c r="Q3" i="23"/>
  <c r="R3" i="23"/>
  <c r="S3" i="23"/>
  <c r="T3" i="23"/>
  <c r="U3" i="23"/>
  <c r="V3" i="23"/>
  <c r="W3" i="23"/>
  <c r="X3" i="23"/>
  <c r="Y3" i="23"/>
  <c r="Z3" i="23"/>
  <c r="AA3" i="23"/>
  <c r="O3" i="23"/>
  <c r="G3" i="23"/>
  <c r="H3" i="23"/>
  <c r="I3" i="23"/>
  <c r="J3" i="23"/>
  <c r="K3" i="23"/>
  <c r="L3" i="23"/>
  <c r="M3" i="23"/>
  <c r="I2" i="23"/>
  <c r="J2" i="23"/>
  <c r="K2" i="23"/>
  <c r="L2" i="23"/>
  <c r="M2" i="23"/>
  <c r="N2" i="23"/>
  <c r="O2" i="23"/>
  <c r="P2" i="23"/>
  <c r="Q2" i="23"/>
  <c r="R2" i="23"/>
  <c r="S2" i="23"/>
  <c r="T2" i="23"/>
  <c r="U2" i="23"/>
  <c r="V2" i="23"/>
  <c r="W2" i="23"/>
  <c r="X2" i="23"/>
  <c r="Y2" i="23"/>
  <c r="Z2" i="23"/>
  <c r="AA2" i="23"/>
  <c r="H2" i="23"/>
  <c r="G2" i="23"/>
  <c r="AA1" i="23"/>
  <c r="L1" i="23"/>
  <c r="F1" i="23"/>
  <c r="E1" i="23"/>
  <c r="E1" i="43"/>
  <c r="E1" i="34"/>
  <c r="O3" i="44"/>
  <c r="P3" i="44"/>
  <c r="Q3" i="44"/>
  <c r="R3" i="44"/>
  <c r="S3" i="44"/>
  <c r="T3" i="44"/>
  <c r="U3" i="44"/>
  <c r="V3" i="44"/>
  <c r="W3" i="44"/>
  <c r="X3" i="44"/>
  <c r="Y3" i="44"/>
  <c r="Z3" i="44"/>
  <c r="AA3" i="44"/>
  <c r="G3" i="44"/>
  <c r="H3" i="44"/>
  <c r="I3" i="44"/>
  <c r="J3" i="44"/>
  <c r="K3" i="44"/>
  <c r="L3" i="44"/>
  <c r="M3" i="44"/>
  <c r="H2" i="44"/>
  <c r="I2" i="44"/>
  <c r="J2" i="44"/>
  <c r="K2" i="44"/>
  <c r="L2" i="44"/>
  <c r="M2" i="44"/>
  <c r="N2" i="44"/>
  <c r="O2" i="44"/>
  <c r="P2" i="44"/>
  <c r="Q2" i="44"/>
  <c r="R2" i="44"/>
  <c r="S2" i="44"/>
  <c r="T2" i="44"/>
  <c r="U2" i="44"/>
  <c r="V2" i="44"/>
  <c r="W2" i="44"/>
  <c r="X2" i="44"/>
  <c r="Y2" i="44"/>
  <c r="Z2" i="44"/>
  <c r="AA2" i="44"/>
  <c r="G2" i="44"/>
  <c r="AA1" i="44"/>
  <c r="H1" i="44"/>
  <c r="F1" i="44"/>
  <c r="E1" i="44"/>
  <c r="O3" i="17"/>
  <c r="P3" i="17"/>
  <c r="Q3" i="17"/>
  <c r="R3" i="17"/>
  <c r="S3" i="17"/>
  <c r="T3" i="17"/>
  <c r="U3" i="17"/>
  <c r="V3" i="17"/>
  <c r="W3" i="17"/>
  <c r="X3" i="17"/>
  <c r="Y3" i="17"/>
  <c r="Z3" i="17"/>
  <c r="AA3" i="17"/>
  <c r="G3" i="17"/>
  <c r="H3" i="17"/>
  <c r="I3" i="17"/>
  <c r="J3" i="17"/>
  <c r="K3" i="17"/>
  <c r="L3" i="17"/>
  <c r="M3" i="17"/>
  <c r="G2" i="17"/>
  <c r="H2" i="17"/>
  <c r="I2" i="17"/>
  <c r="J2" i="17"/>
  <c r="K2" i="17"/>
  <c r="L2" i="17"/>
  <c r="M2" i="17"/>
  <c r="N2" i="17"/>
  <c r="O2" i="17"/>
  <c r="P2" i="17"/>
  <c r="Q2" i="17"/>
  <c r="R2" i="17"/>
  <c r="S2" i="17"/>
  <c r="T2" i="17"/>
  <c r="U2" i="17"/>
  <c r="V2" i="17"/>
  <c r="W2" i="17"/>
  <c r="X2" i="17"/>
  <c r="Y2" i="17"/>
  <c r="Z2" i="17"/>
  <c r="AA2" i="17"/>
  <c r="AA1" i="17"/>
  <c r="H1" i="17"/>
  <c r="F1" i="17"/>
  <c r="E1" i="17"/>
  <c r="M33" i="67"/>
  <c r="U33" i="67"/>
  <c r="F1" i="33"/>
  <c r="E1" i="33"/>
  <c r="F1" i="20"/>
  <c r="E1" i="20"/>
  <c r="F1" i="34"/>
  <c r="I1" i="36"/>
  <c r="I1" i="33"/>
  <c r="H1" i="20"/>
  <c r="L1" i="34"/>
  <c r="C1" i="31"/>
  <c r="F1" i="36"/>
  <c r="F8" i="73"/>
  <c r="F7" i="73"/>
  <c r="F6" i="73"/>
  <c r="F5" i="73"/>
  <c r="F4" i="73"/>
  <c r="F3" i="73"/>
  <c r="T48" i="42"/>
  <c r="K187" i="60"/>
  <c r="R373" i="60"/>
  <c r="R372" i="60"/>
  <c r="Q372" i="60"/>
  <c r="N371" i="60"/>
  <c r="O371" i="60"/>
  <c r="P371" i="60"/>
  <c r="Q371" i="60"/>
  <c r="R371" i="60"/>
  <c r="R367" i="60"/>
  <c r="Q367" i="60"/>
  <c r="P367" i="60"/>
  <c r="O367" i="60"/>
  <c r="N367" i="60"/>
  <c r="M367" i="60"/>
  <c r="M364" i="60"/>
  <c r="R359" i="60"/>
  <c r="Q359" i="60"/>
  <c r="P359" i="60"/>
  <c r="O359" i="60"/>
  <c r="N359" i="60"/>
  <c r="M359" i="60"/>
  <c r="K356" i="60"/>
  <c r="N353" i="60"/>
  <c r="L353" i="60"/>
  <c r="F353" i="60"/>
  <c r="Q351" i="60"/>
  <c r="O351" i="60"/>
  <c r="I351" i="60"/>
  <c r="G351" i="60"/>
  <c r="R350" i="60"/>
  <c r="R351" i="60"/>
  <c r="Q350" i="60"/>
  <c r="P350" i="60"/>
  <c r="P351" i="60"/>
  <c r="O350" i="60"/>
  <c r="N350" i="60"/>
  <c r="N351" i="60"/>
  <c r="M350" i="60"/>
  <c r="M351" i="60"/>
  <c r="L350" i="60"/>
  <c r="L351" i="60"/>
  <c r="K350" i="60"/>
  <c r="J350" i="60"/>
  <c r="J353" i="60"/>
  <c r="J354" i="60"/>
  <c r="I350" i="60"/>
  <c r="I353" i="60"/>
  <c r="H350" i="60"/>
  <c r="H353" i="60"/>
  <c r="H354" i="60"/>
  <c r="G350" i="60"/>
  <c r="G353" i="60"/>
  <c r="G354" i="60"/>
  <c r="F350" i="60"/>
  <c r="R346" i="60"/>
  <c r="L343" i="60"/>
  <c r="F343" i="60"/>
  <c r="F347" i="60"/>
  <c r="C342" i="60"/>
  <c r="R341" i="60"/>
  <c r="Q341" i="60"/>
  <c r="P341" i="60"/>
  <c r="O341" i="60"/>
  <c r="N341" i="60"/>
  <c r="M341" i="60"/>
  <c r="M352" i="60"/>
  <c r="C341" i="60"/>
  <c r="R340" i="60"/>
  <c r="R352" i="60"/>
  <c r="Q340" i="60"/>
  <c r="P340" i="60"/>
  <c r="P352" i="60"/>
  <c r="O340" i="60"/>
  <c r="O352" i="60"/>
  <c r="N340" i="60"/>
  <c r="N352" i="60"/>
  <c r="C340" i="60"/>
  <c r="R338" i="60"/>
  <c r="R356" i="60"/>
  <c r="Q338" i="60"/>
  <c r="Q356" i="60"/>
  <c r="P338" i="60"/>
  <c r="P356" i="60"/>
  <c r="O338" i="60"/>
  <c r="O356" i="60"/>
  <c r="N338" i="60"/>
  <c r="N356" i="60"/>
  <c r="M338" i="60"/>
  <c r="L338" i="60"/>
  <c r="L356" i="60"/>
  <c r="K338" i="60"/>
  <c r="K343" i="60"/>
  <c r="J338" i="60"/>
  <c r="J356" i="60"/>
  <c r="I338" i="60"/>
  <c r="I356" i="60"/>
  <c r="H338" i="60"/>
  <c r="H356" i="60"/>
  <c r="G338" i="60"/>
  <c r="G356" i="60"/>
  <c r="F338" i="60"/>
  <c r="F356" i="60"/>
  <c r="C338" i="60"/>
  <c r="I332" i="60"/>
  <c r="O329" i="60"/>
  <c r="G329" i="60"/>
  <c r="G333" i="60"/>
  <c r="I328" i="60"/>
  <c r="G326" i="60"/>
  <c r="H326" i="60"/>
  <c r="I326" i="60"/>
  <c r="J326" i="60"/>
  <c r="K326" i="60"/>
  <c r="L326" i="60"/>
  <c r="M326" i="60"/>
  <c r="N326" i="60"/>
  <c r="O326" i="60"/>
  <c r="P326" i="60"/>
  <c r="Q326" i="60"/>
  <c r="R326" i="60"/>
  <c r="L325" i="60"/>
  <c r="R324" i="60"/>
  <c r="L324" i="60"/>
  <c r="R323" i="60"/>
  <c r="Q323" i="60"/>
  <c r="Q325" i="60"/>
  <c r="P323" i="60"/>
  <c r="O323" i="60"/>
  <c r="O325" i="60"/>
  <c r="N323" i="60"/>
  <c r="S323" i="60"/>
  <c r="M323" i="60"/>
  <c r="L323" i="60"/>
  <c r="K323" i="60"/>
  <c r="J323" i="60"/>
  <c r="I323" i="60"/>
  <c r="I325" i="60"/>
  <c r="H323" i="60"/>
  <c r="G323" i="60"/>
  <c r="G325" i="60"/>
  <c r="F323" i="60"/>
  <c r="F324" i="60"/>
  <c r="F325" i="60"/>
  <c r="P321" i="60"/>
  <c r="H321" i="60"/>
  <c r="F321" i="60"/>
  <c r="R320" i="60"/>
  <c r="R321" i="60"/>
  <c r="Q320" i="60"/>
  <c r="Q324" i="60"/>
  <c r="P320" i="60"/>
  <c r="P324" i="60"/>
  <c r="O320" i="60"/>
  <c r="O324" i="60"/>
  <c r="N320" i="60"/>
  <c r="M320" i="60"/>
  <c r="M321" i="60"/>
  <c r="L320" i="60"/>
  <c r="L321" i="60"/>
  <c r="K320" i="60"/>
  <c r="K321" i="60"/>
  <c r="J320" i="60"/>
  <c r="J321" i="60"/>
  <c r="I320" i="60"/>
  <c r="I324" i="60"/>
  <c r="H320" i="60"/>
  <c r="H324" i="60"/>
  <c r="G320" i="60"/>
  <c r="G324" i="60"/>
  <c r="Q315" i="60"/>
  <c r="N315" i="60"/>
  <c r="O315" i="60"/>
  <c r="M315" i="60"/>
  <c r="P314" i="60"/>
  <c r="N313" i="60"/>
  <c r="M313" i="60"/>
  <c r="M314" i="60"/>
  <c r="K311" i="60"/>
  <c r="L311" i="60"/>
  <c r="M311" i="60"/>
  <c r="N311" i="60"/>
  <c r="O311" i="60"/>
  <c r="P311" i="60"/>
  <c r="Q311" i="60"/>
  <c r="R311" i="60"/>
  <c r="G311" i="60"/>
  <c r="H311" i="60"/>
  <c r="I311" i="60"/>
  <c r="J311" i="60"/>
  <c r="R310" i="60"/>
  <c r="Q310" i="60"/>
  <c r="N310" i="60"/>
  <c r="O307" i="60"/>
  <c r="N302" i="60"/>
  <c r="I297" i="60"/>
  <c r="P295" i="60"/>
  <c r="N295" i="60"/>
  <c r="H295" i="60"/>
  <c r="F295" i="60"/>
  <c r="R294" i="60"/>
  <c r="R329" i="60"/>
  <c r="Q294" i="60"/>
  <c r="Q329" i="60"/>
  <c r="P294" i="60"/>
  <c r="P329" i="60"/>
  <c r="O294" i="60"/>
  <c r="N294" i="60"/>
  <c r="N329" i="60"/>
  <c r="M294" i="60"/>
  <c r="M329" i="60"/>
  <c r="L294" i="60"/>
  <c r="L329" i="60"/>
  <c r="L333" i="60"/>
  <c r="L115" i="60"/>
  <c r="L119" i="60"/>
  <c r="K294" i="60"/>
  <c r="K329" i="60"/>
  <c r="K333" i="60"/>
  <c r="K115" i="60"/>
  <c r="K119" i="60"/>
  <c r="J294" i="60"/>
  <c r="J329" i="60"/>
  <c r="J333" i="60"/>
  <c r="J115" i="60"/>
  <c r="J119" i="60"/>
  <c r="I294" i="60"/>
  <c r="I329" i="60"/>
  <c r="I333" i="60"/>
  <c r="I115" i="60"/>
  <c r="I119" i="60"/>
  <c r="H294" i="60"/>
  <c r="H329" i="60"/>
  <c r="H333" i="60"/>
  <c r="H115" i="60"/>
  <c r="G294" i="60"/>
  <c r="F294" i="60"/>
  <c r="F329" i="60"/>
  <c r="F333" i="60"/>
  <c r="I287" i="60"/>
  <c r="N286" i="60"/>
  <c r="H286" i="60"/>
  <c r="F286" i="60"/>
  <c r="R285" i="60"/>
  <c r="Q284" i="60"/>
  <c r="R284" i="60"/>
  <c r="N283" i="60"/>
  <c r="O283" i="60"/>
  <c r="P283" i="60"/>
  <c r="R282" i="60"/>
  <c r="R302" i="60"/>
  <c r="Q282" i="60"/>
  <c r="Q302" i="60"/>
  <c r="P282" i="60"/>
  <c r="P302" i="60"/>
  <c r="O282" i="60"/>
  <c r="N282" i="60"/>
  <c r="M282" i="60"/>
  <c r="L282" i="60"/>
  <c r="L295" i="60"/>
  <c r="K282" i="60"/>
  <c r="J282" i="60"/>
  <c r="J295" i="60"/>
  <c r="I282" i="60"/>
  <c r="I295" i="60"/>
  <c r="I298" i="60"/>
  <c r="H282" i="60"/>
  <c r="G282" i="60"/>
  <c r="G295" i="60"/>
  <c r="F282" i="60"/>
  <c r="H280" i="60"/>
  <c r="I280" i="60"/>
  <c r="J280" i="60"/>
  <c r="K280" i="60"/>
  <c r="L280" i="60"/>
  <c r="M280" i="60"/>
  <c r="N280" i="60"/>
  <c r="O280" i="60"/>
  <c r="P280" i="60"/>
  <c r="Q280" i="60"/>
  <c r="R280" i="60"/>
  <c r="G280" i="60"/>
  <c r="S267" i="60"/>
  <c r="S266" i="60"/>
  <c r="N260" i="60"/>
  <c r="G257" i="60"/>
  <c r="H252" i="60"/>
  <c r="H257" i="60"/>
  <c r="I252" i="60"/>
  <c r="I257" i="60"/>
  <c r="J252" i="60"/>
  <c r="J257" i="60"/>
  <c r="K252" i="60"/>
  <c r="K257" i="60"/>
  <c r="F257" i="60"/>
  <c r="L252" i="60"/>
  <c r="L257" i="60"/>
  <c r="M252" i="60"/>
  <c r="M257" i="60"/>
  <c r="R250" i="60"/>
  <c r="R370" i="60"/>
  <c r="R375" i="60"/>
  <c r="Q250" i="60"/>
  <c r="Q370" i="60"/>
  <c r="P250" i="60"/>
  <c r="P370" i="60"/>
  <c r="P375" i="60"/>
  <c r="O250" i="60"/>
  <c r="O370" i="60"/>
  <c r="O375" i="60"/>
  <c r="N250" i="60"/>
  <c r="N370" i="60"/>
  <c r="N375" i="60"/>
  <c r="M250" i="60"/>
  <c r="M370" i="60"/>
  <c r="M375" i="60"/>
  <c r="L250" i="60"/>
  <c r="L370" i="60"/>
  <c r="L375" i="60"/>
  <c r="L377" i="60"/>
  <c r="K250" i="60"/>
  <c r="K370" i="60"/>
  <c r="K375" i="60"/>
  <c r="K377" i="60"/>
  <c r="K378" i="60"/>
  <c r="J250" i="60"/>
  <c r="J370" i="60"/>
  <c r="J375" i="60"/>
  <c r="J377" i="60"/>
  <c r="J378" i="60"/>
  <c r="I250" i="60"/>
  <c r="I370" i="60"/>
  <c r="I375" i="60"/>
  <c r="I377" i="60"/>
  <c r="H250" i="60"/>
  <c r="H370" i="60"/>
  <c r="H375" i="60"/>
  <c r="H377" i="60"/>
  <c r="G250" i="60"/>
  <c r="G370" i="60"/>
  <c r="G375" i="60"/>
  <c r="G377" i="60"/>
  <c r="G378" i="60"/>
  <c r="F250" i="60"/>
  <c r="F370" i="60"/>
  <c r="F375" i="60"/>
  <c r="F377" i="60"/>
  <c r="G249" i="60"/>
  <c r="H249" i="60"/>
  <c r="I249" i="60"/>
  <c r="J249" i="60"/>
  <c r="K249" i="60"/>
  <c r="L249" i="60"/>
  <c r="M249" i="60"/>
  <c r="N249" i="60"/>
  <c r="O249" i="60"/>
  <c r="P249" i="60"/>
  <c r="Q249" i="60"/>
  <c r="R249" i="60"/>
  <c r="K248" i="60"/>
  <c r="I248" i="60"/>
  <c r="R245" i="60"/>
  <c r="Q245" i="60"/>
  <c r="P245" i="60"/>
  <c r="P248" i="60"/>
  <c r="Q230" i="60"/>
  <c r="Q248" i="60"/>
  <c r="R230" i="60"/>
  <c r="R248" i="60"/>
  <c r="S248" i="60"/>
  <c r="O245" i="60"/>
  <c r="O248" i="60"/>
  <c r="N245" i="60"/>
  <c r="N248" i="60"/>
  <c r="M245" i="60"/>
  <c r="M248" i="60"/>
  <c r="L245" i="60"/>
  <c r="L248" i="60"/>
  <c r="K245" i="60"/>
  <c r="J245" i="60"/>
  <c r="J248" i="60"/>
  <c r="I245" i="60"/>
  <c r="H245" i="60"/>
  <c r="H248" i="60"/>
  <c r="G245" i="60"/>
  <c r="G248" i="60"/>
  <c r="F245" i="60"/>
  <c r="F248" i="60"/>
  <c r="H229" i="60"/>
  <c r="I229" i="60"/>
  <c r="J229" i="60"/>
  <c r="K229" i="60"/>
  <c r="L229" i="60"/>
  <c r="M229" i="60"/>
  <c r="N229" i="60"/>
  <c r="O229" i="60"/>
  <c r="P229" i="60"/>
  <c r="Q229" i="60"/>
  <c r="R229" i="60"/>
  <c r="G229" i="60"/>
  <c r="R224" i="60"/>
  <c r="Q219" i="60"/>
  <c r="P214" i="60"/>
  <c r="O208" i="60"/>
  <c r="N202" i="60"/>
  <c r="M196" i="60"/>
  <c r="L191" i="60"/>
  <c r="K184" i="60"/>
  <c r="J178" i="60"/>
  <c r="I175" i="60"/>
  <c r="I173" i="60"/>
  <c r="H168" i="60"/>
  <c r="G166" i="60"/>
  <c r="G160" i="60"/>
  <c r="F153" i="60"/>
  <c r="N150" i="60"/>
  <c r="M150" i="60"/>
  <c r="L150" i="60"/>
  <c r="K150" i="60"/>
  <c r="J150" i="60"/>
  <c r="I150" i="60"/>
  <c r="H150" i="60"/>
  <c r="G150" i="60"/>
  <c r="Q151" i="60"/>
  <c r="O151" i="60"/>
  <c r="N152" i="60"/>
  <c r="L157" i="60"/>
  <c r="J157" i="60"/>
  <c r="H152" i="60"/>
  <c r="F152" i="60"/>
  <c r="F146" i="60"/>
  <c r="Q145" i="60"/>
  <c r="O145" i="60"/>
  <c r="O82" i="60"/>
  <c r="I145" i="60"/>
  <c r="Q143" i="60"/>
  <c r="Q80" i="60"/>
  <c r="K143" i="60"/>
  <c r="K80" i="60"/>
  <c r="I143" i="60"/>
  <c r="I80" i="60"/>
  <c r="I141" i="60"/>
  <c r="I142" i="60"/>
  <c r="I79" i="60"/>
  <c r="R137" i="60"/>
  <c r="R145" i="60"/>
  <c r="Q137" i="60"/>
  <c r="P137" i="60"/>
  <c r="P145" i="60"/>
  <c r="O137" i="60"/>
  <c r="N137" i="60"/>
  <c r="N145" i="60"/>
  <c r="M137" i="60"/>
  <c r="M145" i="60"/>
  <c r="M82" i="60"/>
  <c r="L137" i="60"/>
  <c r="L145" i="60"/>
  <c r="K137" i="60"/>
  <c r="K145" i="60"/>
  <c r="J137" i="60"/>
  <c r="J145" i="60"/>
  <c r="I137" i="60"/>
  <c r="R135" i="60"/>
  <c r="R143" i="60"/>
  <c r="R80" i="60"/>
  <c r="Q135" i="60"/>
  <c r="P135" i="60"/>
  <c r="P143" i="60"/>
  <c r="P80" i="60"/>
  <c r="O135" i="60"/>
  <c r="O143" i="60"/>
  <c r="O80" i="60"/>
  <c r="N135" i="60"/>
  <c r="N143" i="60"/>
  <c r="M135" i="60"/>
  <c r="M143" i="60"/>
  <c r="M80" i="60"/>
  <c r="L135" i="60"/>
  <c r="L143" i="60"/>
  <c r="L80" i="60"/>
  <c r="K135" i="60"/>
  <c r="J135" i="60"/>
  <c r="J143" i="60"/>
  <c r="J80" i="60"/>
  <c r="I135" i="60"/>
  <c r="H135" i="60"/>
  <c r="H143" i="60"/>
  <c r="H80" i="60"/>
  <c r="G135" i="60"/>
  <c r="G143" i="60"/>
  <c r="G80" i="60"/>
  <c r="F135" i="60"/>
  <c r="F143" i="60"/>
  <c r="I134" i="60"/>
  <c r="I140" i="60"/>
  <c r="G133" i="60"/>
  <c r="R132" i="60"/>
  <c r="R226" i="60"/>
  <c r="Q132" i="60"/>
  <c r="Q221" i="60"/>
  <c r="P132" i="60"/>
  <c r="P216" i="60"/>
  <c r="O132" i="60"/>
  <c r="O210" i="60"/>
  <c r="N132" i="60"/>
  <c r="N204" i="60"/>
  <c r="M132" i="60"/>
  <c r="M198" i="60"/>
  <c r="L132" i="60"/>
  <c r="K132" i="60"/>
  <c r="J132" i="60"/>
  <c r="I132" i="60"/>
  <c r="H132" i="60"/>
  <c r="G132" i="60"/>
  <c r="F132" i="60"/>
  <c r="F133" i="60"/>
  <c r="F287" i="60"/>
  <c r="Q131" i="60"/>
  <c r="P131" i="60"/>
  <c r="O131" i="60"/>
  <c r="L131" i="60"/>
  <c r="K131" i="60"/>
  <c r="J131" i="60"/>
  <c r="I131" i="60"/>
  <c r="H131" i="60"/>
  <c r="G131" i="60"/>
  <c r="F131" i="60"/>
  <c r="G130" i="60"/>
  <c r="H130" i="60"/>
  <c r="I130" i="60"/>
  <c r="J130" i="60"/>
  <c r="K130" i="60"/>
  <c r="L130" i="60"/>
  <c r="M130" i="60"/>
  <c r="N130" i="60"/>
  <c r="O130" i="60"/>
  <c r="P130" i="60"/>
  <c r="Q130" i="60"/>
  <c r="R130" i="60"/>
  <c r="R127" i="60"/>
  <c r="Q127" i="60"/>
  <c r="P127" i="60"/>
  <c r="O127" i="60"/>
  <c r="I122" i="60"/>
  <c r="J122" i="60"/>
  <c r="F120" i="60"/>
  <c r="R118" i="60"/>
  <c r="Q118" i="60"/>
  <c r="M118" i="60"/>
  <c r="O117" i="60"/>
  <c r="P117" i="60"/>
  <c r="Q117" i="60"/>
  <c r="N117" i="60"/>
  <c r="G115" i="60"/>
  <c r="G119" i="60"/>
  <c r="F115" i="60"/>
  <c r="F119" i="60"/>
  <c r="F121" i="60"/>
  <c r="F126" i="60"/>
  <c r="H114" i="60"/>
  <c r="I112" i="60"/>
  <c r="L109" i="60"/>
  <c r="K109" i="60"/>
  <c r="J109" i="60"/>
  <c r="R105" i="60"/>
  <c r="Q105" i="60"/>
  <c r="M105" i="60"/>
  <c r="R103" i="60"/>
  <c r="Q102" i="60"/>
  <c r="R102" i="60"/>
  <c r="N101" i="60"/>
  <c r="O101" i="60"/>
  <c r="P101" i="60"/>
  <c r="Q101" i="60"/>
  <c r="R101" i="60"/>
  <c r="L100" i="60"/>
  <c r="L106" i="60"/>
  <c r="L110" i="60"/>
  <c r="K100" i="60"/>
  <c r="J100" i="60"/>
  <c r="I100" i="60"/>
  <c r="H100" i="60"/>
  <c r="G100" i="60"/>
  <c r="F100" i="60"/>
  <c r="F106" i="60"/>
  <c r="F110" i="60"/>
  <c r="R99" i="60"/>
  <c r="Q99" i="60"/>
  <c r="P99" i="60"/>
  <c r="O99" i="60"/>
  <c r="N99" i="60"/>
  <c r="M99" i="60"/>
  <c r="L99" i="60"/>
  <c r="K99" i="60"/>
  <c r="K106" i="60"/>
  <c r="K110" i="60"/>
  <c r="J99" i="60"/>
  <c r="I99" i="60"/>
  <c r="I106" i="60"/>
  <c r="I110" i="60"/>
  <c r="H99" i="60"/>
  <c r="G99" i="60"/>
  <c r="G106" i="60"/>
  <c r="G110" i="60"/>
  <c r="F99" i="60"/>
  <c r="N98" i="60"/>
  <c r="L98" i="60"/>
  <c r="K98" i="60"/>
  <c r="J98" i="60"/>
  <c r="I98" i="60"/>
  <c r="H98" i="60"/>
  <c r="G98" i="60"/>
  <c r="F98" i="60"/>
  <c r="R94" i="60"/>
  <c r="S107" i="60"/>
  <c r="Q94" i="60"/>
  <c r="P94" i="60"/>
  <c r="O94" i="60"/>
  <c r="N94" i="60"/>
  <c r="M94" i="60"/>
  <c r="M98" i="60"/>
  <c r="Q93" i="60"/>
  <c r="P93" i="60"/>
  <c r="P98" i="60"/>
  <c r="O93" i="60"/>
  <c r="O98" i="60"/>
  <c r="R88" i="60"/>
  <c r="R98" i="60"/>
  <c r="Q88" i="60"/>
  <c r="Q98" i="60"/>
  <c r="P88" i="60"/>
  <c r="Q87" i="60"/>
  <c r="R87" i="60"/>
  <c r="G87" i="60"/>
  <c r="H87" i="60"/>
  <c r="I87" i="60"/>
  <c r="J87" i="60"/>
  <c r="K87" i="60"/>
  <c r="L87" i="60"/>
  <c r="F83" i="60"/>
  <c r="N82" i="60"/>
  <c r="L82" i="60"/>
  <c r="N80" i="60"/>
  <c r="F80" i="60"/>
  <c r="I78" i="60"/>
  <c r="R69" i="60"/>
  <c r="P69" i="60"/>
  <c r="L69" i="60"/>
  <c r="J69" i="60"/>
  <c r="I69" i="60"/>
  <c r="H69" i="60"/>
  <c r="F69" i="60"/>
  <c r="R66" i="60"/>
  <c r="Q66" i="60"/>
  <c r="Q69" i="60"/>
  <c r="P66" i="60"/>
  <c r="O66" i="60"/>
  <c r="O69" i="60"/>
  <c r="N66" i="60"/>
  <c r="N69" i="60"/>
  <c r="M66" i="60"/>
  <c r="M64" i="60"/>
  <c r="M69" i="60"/>
  <c r="K64" i="60"/>
  <c r="K69" i="60"/>
  <c r="J64" i="60"/>
  <c r="G64" i="60"/>
  <c r="G69" i="60"/>
  <c r="Q57" i="60"/>
  <c r="R57" i="60"/>
  <c r="G57" i="60"/>
  <c r="H57" i="60"/>
  <c r="I57" i="60"/>
  <c r="J57" i="60"/>
  <c r="K57" i="60"/>
  <c r="L57" i="60"/>
  <c r="N54" i="60"/>
  <c r="F54" i="60"/>
  <c r="R53" i="60"/>
  <c r="Q53" i="60"/>
  <c r="P53" i="60"/>
  <c r="O53" i="60"/>
  <c r="R52" i="60"/>
  <c r="Q52" i="60"/>
  <c r="S39" i="60"/>
  <c r="P52" i="60"/>
  <c r="O52" i="60"/>
  <c r="N52" i="60"/>
  <c r="M52" i="60"/>
  <c r="L52" i="60"/>
  <c r="K52" i="60"/>
  <c r="I52" i="60"/>
  <c r="G52" i="60"/>
  <c r="F52" i="60"/>
  <c r="J48" i="60"/>
  <c r="J52" i="60"/>
  <c r="I48" i="60"/>
  <c r="H47" i="60"/>
  <c r="H52" i="60"/>
  <c r="I46" i="60"/>
  <c r="R44" i="60"/>
  <c r="Q44" i="60"/>
  <c r="P44" i="60"/>
  <c r="O44" i="60"/>
  <c r="N44" i="60"/>
  <c r="M44" i="60"/>
  <c r="J44" i="60"/>
  <c r="I44" i="60"/>
  <c r="H44" i="60"/>
  <c r="H54" i="60"/>
  <c r="G44" i="60"/>
  <c r="F44" i="60"/>
  <c r="L43" i="60"/>
  <c r="L44" i="60"/>
  <c r="K43" i="60"/>
  <c r="K44" i="60"/>
  <c r="J43" i="60"/>
  <c r="Q39" i="60"/>
  <c r="O39" i="60"/>
  <c r="O54" i="60"/>
  <c r="N39" i="60"/>
  <c r="M39" i="60"/>
  <c r="M54" i="60"/>
  <c r="L39" i="60"/>
  <c r="L54" i="60"/>
  <c r="K39" i="60"/>
  <c r="K54" i="60"/>
  <c r="J39" i="60"/>
  <c r="J54" i="60"/>
  <c r="I39" i="60"/>
  <c r="H39" i="60"/>
  <c r="G39" i="60"/>
  <c r="F39" i="60"/>
  <c r="S38" i="60"/>
  <c r="Q34" i="60"/>
  <c r="P34" i="60"/>
  <c r="O34" i="60"/>
  <c r="R29" i="60"/>
  <c r="R39" i="60"/>
  <c r="Q29" i="60"/>
  <c r="P29" i="60"/>
  <c r="P39" i="60"/>
  <c r="P54" i="60"/>
  <c r="M27" i="60"/>
  <c r="N27" i="60"/>
  <c r="O27" i="60"/>
  <c r="P27" i="60"/>
  <c r="Q27" i="60"/>
  <c r="R27" i="60"/>
  <c r="G27" i="60"/>
  <c r="H27" i="60"/>
  <c r="I27" i="60"/>
  <c r="J27" i="60"/>
  <c r="K27" i="60"/>
  <c r="L27" i="60"/>
  <c r="Q26" i="60"/>
  <c r="I26" i="60"/>
  <c r="P25" i="60"/>
  <c r="O25" i="60"/>
  <c r="N25" i="60"/>
  <c r="L25" i="60"/>
  <c r="K25" i="60"/>
  <c r="J25" i="60"/>
  <c r="I25" i="60"/>
  <c r="H25" i="60"/>
  <c r="F25" i="60"/>
  <c r="H24" i="60"/>
  <c r="H137" i="60"/>
  <c r="H145" i="60"/>
  <c r="G24" i="60"/>
  <c r="G137" i="60"/>
  <c r="G145" i="60"/>
  <c r="F24" i="60"/>
  <c r="F137" i="60"/>
  <c r="F145" i="60"/>
  <c r="F147" i="60"/>
  <c r="S22" i="60"/>
  <c r="R22" i="60"/>
  <c r="R25" i="60"/>
  <c r="Q22" i="60"/>
  <c r="Q25" i="60"/>
  <c r="N22" i="60"/>
  <c r="N131" i="60"/>
  <c r="M22" i="60"/>
  <c r="R14" i="60"/>
  <c r="R26" i="60"/>
  <c r="Q14" i="60"/>
  <c r="P14" i="60"/>
  <c r="P26" i="60"/>
  <c r="O14" i="60"/>
  <c r="O26" i="60"/>
  <c r="N14" i="60"/>
  <c r="N26" i="60"/>
  <c r="M14" i="60"/>
  <c r="L14" i="60"/>
  <c r="L26" i="60"/>
  <c r="L55" i="60"/>
  <c r="K14" i="60"/>
  <c r="K26" i="60"/>
  <c r="K55" i="60"/>
  <c r="I14" i="60"/>
  <c r="H14" i="60"/>
  <c r="H26" i="60"/>
  <c r="F14" i="60"/>
  <c r="F26" i="60"/>
  <c r="F55" i="60"/>
  <c r="M9" i="60"/>
  <c r="K9" i="60"/>
  <c r="J9" i="60"/>
  <c r="J14" i="60"/>
  <c r="J26" i="60"/>
  <c r="J55" i="60"/>
  <c r="G9" i="60"/>
  <c r="G14" i="60"/>
  <c r="M2" i="60"/>
  <c r="N2" i="60"/>
  <c r="O2" i="60"/>
  <c r="P2" i="60"/>
  <c r="Q2" i="60"/>
  <c r="R2" i="60"/>
  <c r="S2" i="60"/>
  <c r="G2" i="60"/>
  <c r="H2" i="60"/>
  <c r="I2" i="60"/>
  <c r="J2" i="60"/>
  <c r="K2" i="60"/>
  <c r="L2" i="60"/>
  <c r="J152" i="60"/>
  <c r="L152" i="60"/>
  <c r="Q283" i="60"/>
  <c r="R283" i="60"/>
  <c r="P286" i="60"/>
  <c r="M259" i="60"/>
  <c r="M260" i="60"/>
  <c r="F298" i="60"/>
  <c r="L378" i="60"/>
  <c r="M356" i="60"/>
  <c r="M361" i="60"/>
  <c r="M362" i="60"/>
  <c r="M353" i="60"/>
  <c r="M354" i="60"/>
  <c r="I354" i="60"/>
  <c r="L354" i="60"/>
  <c r="G287" i="60"/>
  <c r="G297" i="60"/>
  <c r="G298" i="60"/>
  <c r="N314" i="60"/>
  <c r="O314" i="60"/>
  <c r="H325" i="60"/>
  <c r="P325" i="60"/>
  <c r="K353" i="60"/>
  <c r="K354" i="60"/>
  <c r="K351" i="60"/>
  <c r="M325" i="60"/>
  <c r="O313" i="60"/>
  <c r="Q346" i="60"/>
  <c r="Q366" i="60"/>
  <c r="S320" i="60"/>
  <c r="N324" i="60"/>
  <c r="H378" i="60"/>
  <c r="K295" i="60"/>
  <c r="K286" i="60"/>
  <c r="R325" i="60"/>
  <c r="I378" i="60"/>
  <c r="Q375" i="60"/>
  <c r="P296" i="60"/>
  <c r="J324" i="60"/>
  <c r="J325" i="60"/>
  <c r="M295" i="60"/>
  <c r="M286" i="60"/>
  <c r="M296" i="60"/>
  <c r="M302" i="60"/>
  <c r="M307" i="60"/>
  <c r="N321" i="60"/>
  <c r="S321" i="60"/>
  <c r="K347" i="60"/>
  <c r="L347" i="60"/>
  <c r="L348" i="60"/>
  <c r="L344" i="60"/>
  <c r="Q352" i="60"/>
  <c r="G286" i="60"/>
  <c r="O286" i="60"/>
  <c r="O295" i="60"/>
  <c r="N307" i="60"/>
  <c r="G321" i="60"/>
  <c r="O321" i="60"/>
  <c r="K324" i="60"/>
  <c r="K325" i="60"/>
  <c r="H351" i="60"/>
  <c r="H106" i="60"/>
  <c r="H110" i="60"/>
  <c r="I286" i="60"/>
  <c r="Q286" i="60"/>
  <c r="Q295" i="60"/>
  <c r="F297" i="60"/>
  <c r="O302" i="60"/>
  <c r="P307" i="60"/>
  <c r="I321" i="60"/>
  <c r="Q321" i="60"/>
  <c r="M324" i="60"/>
  <c r="G343" i="60"/>
  <c r="M346" i="60"/>
  <c r="J351" i="60"/>
  <c r="O353" i="60"/>
  <c r="O354" i="60"/>
  <c r="N366" i="60"/>
  <c r="J286" i="60"/>
  <c r="R286" i="60"/>
  <c r="R295" i="60"/>
  <c r="Q307" i="60"/>
  <c r="H343" i="60"/>
  <c r="N346" i="60"/>
  <c r="P353" i="60"/>
  <c r="J106" i="60"/>
  <c r="R307" i="60"/>
  <c r="I343" i="60"/>
  <c r="O346" i="60"/>
  <c r="Q353" i="60"/>
  <c r="Q354" i="60"/>
  <c r="H119" i="60"/>
  <c r="L286" i="60"/>
  <c r="N296" i="60"/>
  <c r="J343" i="60"/>
  <c r="P346" i="60"/>
  <c r="R353" i="60"/>
  <c r="G82" i="60"/>
  <c r="Q55" i="60"/>
  <c r="R117" i="60"/>
  <c r="P55" i="60"/>
  <c r="G141" i="60"/>
  <c r="H133" i="60"/>
  <c r="J82" i="60"/>
  <c r="R82" i="60"/>
  <c r="Q82" i="60"/>
  <c r="R157" i="60"/>
  <c r="H55" i="60"/>
  <c r="F82" i="60"/>
  <c r="F84" i="60"/>
  <c r="F134" i="60"/>
  <c r="F140" i="60"/>
  <c r="K82" i="60"/>
  <c r="K157" i="60"/>
  <c r="K152" i="60"/>
  <c r="G54" i="60"/>
  <c r="M25" i="60"/>
  <c r="M26" i="60"/>
  <c r="M55" i="60"/>
  <c r="M131" i="60"/>
  <c r="M157" i="60"/>
  <c r="Q54" i="60"/>
  <c r="H134" i="60"/>
  <c r="H140" i="60"/>
  <c r="F141" i="60"/>
  <c r="I144" i="60"/>
  <c r="I77" i="60"/>
  <c r="I81" i="60"/>
  <c r="M152" i="60"/>
  <c r="H82" i="60"/>
  <c r="F128" i="60"/>
  <c r="G134" i="60"/>
  <c r="G140" i="60"/>
  <c r="G26" i="60"/>
  <c r="G55" i="60"/>
  <c r="R54" i="60"/>
  <c r="R55" i="60"/>
  <c r="I54" i="60"/>
  <c r="I55" i="60"/>
  <c r="I136" i="60"/>
  <c r="I138" i="60"/>
  <c r="G152" i="60"/>
  <c r="O157" i="60"/>
  <c r="G153" i="60"/>
  <c r="P82" i="60"/>
  <c r="I82" i="60"/>
  <c r="P157" i="60"/>
  <c r="N55" i="60"/>
  <c r="O55" i="60"/>
  <c r="J110" i="60"/>
  <c r="J133" i="60"/>
  <c r="J180" i="60"/>
  <c r="I152" i="60"/>
  <c r="Q157" i="60"/>
  <c r="G162" i="60"/>
  <c r="G25" i="60"/>
  <c r="P151" i="60"/>
  <c r="R131" i="60"/>
  <c r="R151" i="60"/>
  <c r="G157" i="60"/>
  <c r="H157" i="60"/>
  <c r="I157" i="60"/>
  <c r="J297" i="60"/>
  <c r="J298" i="60"/>
  <c r="J287" i="60"/>
  <c r="F136" i="60"/>
  <c r="F138" i="60"/>
  <c r="O296" i="60"/>
  <c r="H287" i="60"/>
  <c r="H297" i="60"/>
  <c r="H298" i="60"/>
  <c r="R354" i="60"/>
  <c r="H347" i="60"/>
  <c r="H348" i="60"/>
  <c r="H344" i="60"/>
  <c r="M276" i="60"/>
  <c r="N259" i="60"/>
  <c r="N276" i="60"/>
  <c r="I347" i="60"/>
  <c r="I344" i="60"/>
  <c r="R296" i="60"/>
  <c r="G344" i="60"/>
  <c r="G347" i="60"/>
  <c r="G348" i="60"/>
  <c r="N354" i="60"/>
  <c r="S324" i="60"/>
  <c r="N325" i="60"/>
  <c r="S325" i="60"/>
  <c r="J347" i="60"/>
  <c r="J348" i="60"/>
  <c r="J344" i="60"/>
  <c r="K344" i="60"/>
  <c r="P354" i="60"/>
  <c r="Q296" i="60"/>
  <c r="H77" i="60"/>
  <c r="F77" i="60"/>
  <c r="F144" i="60"/>
  <c r="G165" i="60"/>
  <c r="G164" i="60"/>
  <c r="H153" i="60"/>
  <c r="G146" i="60"/>
  <c r="G120" i="60"/>
  <c r="G121" i="60"/>
  <c r="G126" i="60"/>
  <c r="G128" i="60"/>
  <c r="G77" i="60"/>
  <c r="G136" i="60"/>
  <c r="G138" i="60"/>
  <c r="N157" i="60"/>
  <c r="J141" i="60"/>
  <c r="K133" i="60"/>
  <c r="J181" i="60"/>
  <c r="I154" i="60"/>
  <c r="G78" i="60"/>
  <c r="G142" i="60"/>
  <c r="J134" i="60"/>
  <c r="J140" i="60"/>
  <c r="F78" i="60"/>
  <c r="F142" i="60"/>
  <c r="H170" i="60"/>
  <c r="H141" i="60"/>
  <c r="H136" i="60"/>
  <c r="H138" i="60"/>
  <c r="K287" i="60"/>
  <c r="K297" i="60"/>
  <c r="K298" i="60"/>
  <c r="F79" i="60"/>
  <c r="F332" i="60"/>
  <c r="F328" i="60"/>
  <c r="G79" i="60"/>
  <c r="G81" i="60"/>
  <c r="G332" i="60"/>
  <c r="G328" i="60"/>
  <c r="G144" i="60"/>
  <c r="I348" i="60"/>
  <c r="O259" i="60"/>
  <c r="O276" i="60"/>
  <c r="N277" i="60"/>
  <c r="K348" i="60"/>
  <c r="G154" i="60"/>
  <c r="F148" i="60"/>
  <c r="F154" i="60"/>
  <c r="H142" i="60"/>
  <c r="H78" i="60"/>
  <c r="F81" i="60"/>
  <c r="F85" i="60"/>
  <c r="F86" i="60"/>
  <c r="F129" i="60"/>
  <c r="J136" i="60"/>
  <c r="J138" i="60"/>
  <c r="H146" i="60"/>
  <c r="H120" i="60"/>
  <c r="H121" i="60"/>
  <c r="H126" i="60"/>
  <c r="H128" i="60"/>
  <c r="I153" i="60"/>
  <c r="H144" i="60"/>
  <c r="G83" i="60"/>
  <c r="G84" i="60"/>
  <c r="G147" i="60"/>
  <c r="G148" i="60"/>
  <c r="L133" i="60"/>
  <c r="K188" i="60"/>
  <c r="K134" i="60"/>
  <c r="K140" i="60"/>
  <c r="K141" i="60"/>
  <c r="J142" i="60"/>
  <c r="J78" i="60"/>
  <c r="J77" i="60"/>
  <c r="J79" i="60"/>
  <c r="J332" i="60"/>
  <c r="J328" i="60"/>
  <c r="L287" i="60"/>
  <c r="L297" i="60"/>
  <c r="L298" i="60"/>
  <c r="P259" i="60"/>
  <c r="P276" i="60"/>
  <c r="O277" i="60"/>
  <c r="H81" i="60"/>
  <c r="J144" i="60"/>
  <c r="H79" i="60"/>
  <c r="H332" i="60"/>
  <c r="H328" i="60"/>
  <c r="H154" i="60"/>
  <c r="H148" i="60"/>
  <c r="K77" i="60"/>
  <c r="J154" i="60"/>
  <c r="J155" i="60"/>
  <c r="K136" i="60"/>
  <c r="K138" i="60"/>
  <c r="H83" i="60"/>
  <c r="H84" i="60"/>
  <c r="H147" i="60"/>
  <c r="G155" i="60"/>
  <c r="K142" i="60"/>
  <c r="K78" i="60"/>
  <c r="G85" i="60"/>
  <c r="G86" i="60"/>
  <c r="G129" i="60"/>
  <c r="I146" i="60"/>
  <c r="I120" i="60"/>
  <c r="I121" i="60"/>
  <c r="I126" i="60"/>
  <c r="I128" i="60"/>
  <c r="J153" i="60"/>
  <c r="J81" i="60"/>
  <c r="L193" i="60"/>
  <c r="N200" i="60"/>
  <c r="M133" i="60"/>
  <c r="L141" i="60"/>
  <c r="L134" i="60"/>
  <c r="L140" i="60"/>
  <c r="T92" i="31"/>
  <c r="T90" i="31"/>
  <c r="Q259" i="60"/>
  <c r="Q276" i="60"/>
  <c r="P277" i="60"/>
  <c r="M287" i="60"/>
  <c r="M289" i="60"/>
  <c r="M290" i="60"/>
  <c r="M297" i="60"/>
  <c r="H85" i="60"/>
  <c r="H86" i="60"/>
  <c r="H129" i="60"/>
  <c r="K79" i="60"/>
  <c r="K332" i="60"/>
  <c r="K328" i="60"/>
  <c r="L77" i="60"/>
  <c r="I83" i="60"/>
  <c r="I84" i="60"/>
  <c r="I85" i="60"/>
  <c r="I86" i="60"/>
  <c r="I129" i="60"/>
  <c r="I147" i="60"/>
  <c r="I148" i="60"/>
  <c r="L136" i="60"/>
  <c r="L138" i="60"/>
  <c r="K81" i="60"/>
  <c r="M199" i="60"/>
  <c r="M141" i="60"/>
  <c r="N133" i="60"/>
  <c r="M134" i="60"/>
  <c r="M140" i="60"/>
  <c r="K144" i="60"/>
  <c r="L142" i="60"/>
  <c r="L78" i="60"/>
  <c r="H155" i="60"/>
  <c r="I155" i="60"/>
  <c r="K153" i="60"/>
  <c r="J120" i="60"/>
  <c r="J121" i="60"/>
  <c r="J126" i="60"/>
  <c r="J128" i="60"/>
  <c r="J146" i="60"/>
  <c r="L79" i="60"/>
  <c r="L328" i="60"/>
  <c r="L332" i="60"/>
  <c r="M301" i="60"/>
  <c r="M303" i="60"/>
  <c r="M306" i="60"/>
  <c r="M308" i="60"/>
  <c r="M299" i="60"/>
  <c r="M298" i="60"/>
  <c r="L144" i="60"/>
  <c r="L154" i="60"/>
  <c r="L155" i="60"/>
  <c r="N287" i="60"/>
  <c r="N289" i="60"/>
  <c r="N290" i="60"/>
  <c r="N291" i="60"/>
  <c r="N297" i="60"/>
  <c r="R259" i="60"/>
  <c r="R276" i="60"/>
  <c r="R277" i="60"/>
  <c r="Q277" i="60"/>
  <c r="M77" i="60"/>
  <c r="O206" i="60"/>
  <c r="N205" i="60"/>
  <c r="M136" i="60"/>
  <c r="M138" i="60"/>
  <c r="J83" i="60"/>
  <c r="J84" i="60"/>
  <c r="J85" i="60"/>
  <c r="J86" i="60"/>
  <c r="J129" i="60"/>
  <c r="J147" i="60"/>
  <c r="J148" i="60"/>
  <c r="K154" i="60"/>
  <c r="K155" i="60"/>
  <c r="L153" i="60"/>
  <c r="K146" i="60"/>
  <c r="K120" i="60"/>
  <c r="K121" i="60"/>
  <c r="K126" i="60"/>
  <c r="K128" i="60"/>
  <c r="N136" i="60"/>
  <c r="N138" i="60"/>
  <c r="N141" i="60"/>
  <c r="O133" i="60"/>
  <c r="N134" i="60"/>
  <c r="N140" i="60"/>
  <c r="M142" i="60"/>
  <c r="M78" i="60"/>
  <c r="L81" i="60"/>
  <c r="M79" i="60"/>
  <c r="M81" i="60"/>
  <c r="M332" i="60"/>
  <c r="M334" i="60"/>
  <c r="M328" i="60"/>
  <c r="M330" i="60"/>
  <c r="N301" i="60"/>
  <c r="N303" i="60"/>
  <c r="N304" i="60"/>
  <c r="N306" i="60"/>
  <c r="N308" i="60"/>
  <c r="N309" i="60"/>
  <c r="N298" i="60"/>
  <c r="N299" i="60"/>
  <c r="O287" i="60"/>
  <c r="O289" i="60"/>
  <c r="O290" i="60"/>
  <c r="O291" i="60"/>
  <c r="O297" i="60"/>
  <c r="N78" i="60"/>
  <c r="N142" i="60"/>
  <c r="M153" i="60"/>
  <c r="L146" i="60"/>
  <c r="L120" i="60"/>
  <c r="L121" i="60"/>
  <c r="L126" i="60"/>
  <c r="L128" i="60"/>
  <c r="O211" i="60"/>
  <c r="O141" i="60"/>
  <c r="P133" i="60"/>
  <c r="O134" i="60"/>
  <c r="O140" i="60"/>
  <c r="K83" i="60"/>
  <c r="K84" i="60"/>
  <c r="K85" i="60"/>
  <c r="K86" i="60"/>
  <c r="K129" i="60"/>
  <c r="K147" i="60"/>
  <c r="K148" i="60"/>
  <c r="N77" i="60"/>
  <c r="N144" i="60"/>
  <c r="M144" i="60"/>
  <c r="M339" i="60"/>
  <c r="M343" i="60"/>
  <c r="M100" i="60"/>
  <c r="M106" i="60"/>
  <c r="M110" i="60"/>
  <c r="M368" i="60"/>
  <c r="M376" i="60"/>
  <c r="M377" i="60"/>
  <c r="M378" i="60"/>
  <c r="M333" i="60"/>
  <c r="M360" i="60"/>
  <c r="M335" i="60"/>
  <c r="P287" i="60"/>
  <c r="P289" i="60"/>
  <c r="P290" i="60"/>
  <c r="P291" i="60"/>
  <c r="P297" i="60"/>
  <c r="O301" i="60"/>
  <c r="O303" i="60"/>
  <c r="O304" i="60"/>
  <c r="O306" i="60"/>
  <c r="O308" i="60"/>
  <c r="O309" i="60"/>
  <c r="O299" i="60"/>
  <c r="O298" i="60"/>
  <c r="N79" i="60"/>
  <c r="N332" i="60"/>
  <c r="N328" i="60"/>
  <c r="N330" i="60"/>
  <c r="N81" i="60"/>
  <c r="O78" i="60"/>
  <c r="O142" i="60"/>
  <c r="N154" i="60"/>
  <c r="L83" i="60"/>
  <c r="L84" i="60"/>
  <c r="L85" i="60"/>
  <c r="L86" i="60"/>
  <c r="L129" i="60"/>
  <c r="L147" i="60"/>
  <c r="L148" i="60"/>
  <c r="O77" i="60"/>
  <c r="N153" i="60"/>
  <c r="M146" i="60"/>
  <c r="M120" i="60"/>
  <c r="P217" i="60"/>
  <c r="P141" i="60"/>
  <c r="Q133" i="60"/>
  <c r="P136" i="60"/>
  <c r="P138" i="60"/>
  <c r="P134" i="60"/>
  <c r="P140" i="60"/>
  <c r="M154" i="60"/>
  <c r="M155" i="60"/>
  <c r="O136" i="60"/>
  <c r="O138" i="60"/>
  <c r="M344" i="60"/>
  <c r="M347" i="60"/>
  <c r="M348" i="60"/>
  <c r="N360" i="60"/>
  <c r="N361" i="60"/>
  <c r="N362" i="60"/>
  <c r="N334" i="60"/>
  <c r="N365" i="60"/>
  <c r="P301" i="60"/>
  <c r="P303" i="60"/>
  <c r="P304" i="60"/>
  <c r="P306" i="60"/>
  <c r="P308" i="60"/>
  <c r="P309" i="60"/>
  <c r="P299" i="60"/>
  <c r="P298" i="60"/>
  <c r="Q297" i="60"/>
  <c r="Q287" i="60"/>
  <c r="Q289" i="60"/>
  <c r="Q290" i="60"/>
  <c r="Q291" i="60"/>
  <c r="M116" i="60"/>
  <c r="M119" i="60"/>
  <c r="M121" i="60"/>
  <c r="M126" i="60"/>
  <c r="M128" i="60"/>
  <c r="M336" i="60"/>
  <c r="O79" i="60"/>
  <c r="O81" i="60"/>
  <c r="O332" i="60"/>
  <c r="O334" i="60"/>
  <c r="O328" i="60"/>
  <c r="O330" i="60"/>
  <c r="M369" i="60"/>
  <c r="O144" i="60"/>
  <c r="Q141" i="60"/>
  <c r="R133" i="60"/>
  <c r="Q222" i="60"/>
  <c r="Q134" i="60"/>
  <c r="Q140" i="60"/>
  <c r="P142" i="60"/>
  <c r="P78" i="60"/>
  <c r="N155" i="60"/>
  <c r="M83" i="60"/>
  <c r="M84" i="60"/>
  <c r="M85" i="60"/>
  <c r="M86" i="60"/>
  <c r="M147" i="60"/>
  <c r="M148" i="60"/>
  <c r="O153" i="60"/>
  <c r="N146" i="60"/>
  <c r="N120" i="60"/>
  <c r="P144" i="60"/>
  <c r="P77" i="60"/>
  <c r="O100" i="60"/>
  <c r="O106" i="60"/>
  <c r="O110" i="60"/>
  <c r="O333" i="60"/>
  <c r="O368" i="60"/>
  <c r="O369" i="60"/>
  <c r="O376" i="60"/>
  <c r="O377" i="60"/>
  <c r="O339" i="60"/>
  <c r="O343" i="60"/>
  <c r="N339" i="60"/>
  <c r="N343" i="60"/>
  <c r="N100" i="60"/>
  <c r="N106" i="60"/>
  <c r="N110" i="60"/>
  <c r="N376" i="60"/>
  <c r="N377" i="60"/>
  <c r="N378" i="60"/>
  <c r="N368" i="60"/>
  <c r="N369" i="60"/>
  <c r="N333" i="60"/>
  <c r="M129" i="60"/>
  <c r="N335" i="60"/>
  <c r="Q301" i="60"/>
  <c r="Q303" i="60"/>
  <c r="Q304" i="60"/>
  <c r="Q306" i="60"/>
  <c r="Q308" i="60"/>
  <c r="Q309" i="60"/>
  <c r="Q299" i="60"/>
  <c r="Q298" i="60"/>
  <c r="R297" i="60"/>
  <c r="R287" i="60"/>
  <c r="R289" i="60"/>
  <c r="R290" i="60"/>
  <c r="R291" i="60"/>
  <c r="P79" i="60"/>
  <c r="P81" i="60"/>
  <c r="P332" i="60"/>
  <c r="P334" i="60"/>
  <c r="P328" i="60"/>
  <c r="P330" i="60"/>
  <c r="O335" i="60"/>
  <c r="O360" i="60"/>
  <c r="O361" i="60"/>
  <c r="O362" i="60"/>
  <c r="P154" i="60"/>
  <c r="R141" i="60"/>
  <c r="R227" i="60"/>
  <c r="R134" i="60"/>
  <c r="R140" i="60"/>
  <c r="Q77" i="60"/>
  <c r="N83" i="60"/>
  <c r="N84" i="60"/>
  <c r="N85" i="60"/>
  <c r="N86" i="60"/>
  <c r="N147" i="60"/>
  <c r="N148" i="60"/>
  <c r="Q136" i="60"/>
  <c r="Q138" i="60"/>
  <c r="P153" i="60"/>
  <c r="O146" i="60"/>
  <c r="O120" i="60"/>
  <c r="Q142" i="60"/>
  <c r="Q78" i="60"/>
  <c r="O154" i="60"/>
  <c r="O156" i="60"/>
  <c r="N129" i="60"/>
  <c r="P368" i="60"/>
  <c r="P369" i="60"/>
  <c r="P376" i="60"/>
  <c r="P377" i="60"/>
  <c r="P378" i="60"/>
  <c r="P333" i="60"/>
  <c r="P339" i="60"/>
  <c r="P343" i="60"/>
  <c r="P100" i="60"/>
  <c r="P106" i="60"/>
  <c r="P110" i="60"/>
  <c r="O344" i="60"/>
  <c r="O347" i="60"/>
  <c r="P335" i="60"/>
  <c r="P360" i="60"/>
  <c r="P361" i="60"/>
  <c r="P362" i="60"/>
  <c r="O378" i="60"/>
  <c r="N116" i="60"/>
  <c r="N119" i="60"/>
  <c r="N121" i="60"/>
  <c r="N126" i="60"/>
  <c r="N128" i="60"/>
  <c r="N336" i="60"/>
  <c r="Q79" i="60"/>
  <c r="Q332" i="60"/>
  <c r="Q328" i="60"/>
  <c r="Q330" i="60"/>
  <c r="R306" i="60"/>
  <c r="R308" i="60"/>
  <c r="R309" i="60"/>
  <c r="R299" i="60"/>
  <c r="R301" i="60"/>
  <c r="R303" i="60"/>
  <c r="R304" i="60"/>
  <c r="R298" i="60"/>
  <c r="O116" i="60"/>
  <c r="O119" i="60"/>
  <c r="O121" i="60"/>
  <c r="O126" i="60"/>
  <c r="O128" i="60"/>
  <c r="O336" i="60"/>
  <c r="N344" i="60"/>
  <c r="N347" i="60"/>
  <c r="N348" i="60"/>
  <c r="O83" i="60"/>
  <c r="O84" i="60"/>
  <c r="O85" i="60"/>
  <c r="O86" i="60"/>
  <c r="O147" i="60"/>
  <c r="O148" i="60"/>
  <c r="R77" i="60"/>
  <c r="R136" i="60"/>
  <c r="R138" i="60"/>
  <c r="Q81" i="60"/>
  <c r="R142" i="60"/>
  <c r="R78" i="60"/>
  <c r="Q144" i="60"/>
  <c r="P146" i="60"/>
  <c r="P120" i="60"/>
  <c r="Q153" i="60"/>
  <c r="P156" i="60"/>
  <c r="O129" i="60"/>
  <c r="Q360" i="60"/>
  <c r="Q361" i="60"/>
  <c r="Q362" i="60"/>
  <c r="Q334" i="60"/>
  <c r="Q365" i="60"/>
  <c r="O348" i="60"/>
  <c r="R79" i="60"/>
  <c r="R332" i="60"/>
  <c r="R334" i="60"/>
  <c r="R328" i="60"/>
  <c r="R330" i="60"/>
  <c r="P347" i="60"/>
  <c r="P348" i="60"/>
  <c r="P344" i="60"/>
  <c r="P116" i="60"/>
  <c r="P119" i="60"/>
  <c r="P336" i="60"/>
  <c r="P121" i="60"/>
  <c r="P126" i="60"/>
  <c r="P128" i="60"/>
  <c r="R81" i="60"/>
  <c r="Q154" i="60"/>
  <c r="Q156" i="60"/>
  <c r="R144" i="60"/>
  <c r="Q146" i="60"/>
  <c r="Q120" i="60"/>
  <c r="R153" i="60"/>
  <c r="P83" i="60"/>
  <c r="P84" i="60"/>
  <c r="P85" i="60"/>
  <c r="P86" i="60"/>
  <c r="P147" i="60"/>
  <c r="P148" i="60"/>
  <c r="P129" i="60"/>
  <c r="Q368" i="60"/>
  <c r="Q369" i="60"/>
  <c r="Q376" i="60"/>
  <c r="Q377" i="60"/>
  <c r="Q378" i="60"/>
  <c r="Q333" i="60"/>
  <c r="Q339" i="60"/>
  <c r="Q343" i="60"/>
  <c r="Q100" i="60"/>
  <c r="Q106" i="60"/>
  <c r="Q110" i="60"/>
  <c r="Q335" i="60"/>
  <c r="R376" i="60"/>
  <c r="R377" i="60"/>
  <c r="R378" i="60"/>
  <c r="R333" i="60"/>
  <c r="R339" i="60"/>
  <c r="R343" i="60"/>
  <c r="R368" i="60"/>
  <c r="R100" i="60"/>
  <c r="R106" i="60"/>
  <c r="R110" i="60"/>
  <c r="R360" i="60"/>
  <c r="R361" i="60"/>
  <c r="R362" i="60"/>
  <c r="R335" i="60"/>
  <c r="Q83" i="60"/>
  <c r="Q84" i="60"/>
  <c r="Q85" i="60"/>
  <c r="Q86" i="60"/>
  <c r="Q147" i="60"/>
  <c r="Q148" i="60"/>
  <c r="R120" i="60"/>
  <c r="R146" i="60"/>
  <c r="R154" i="60"/>
  <c r="R156" i="60"/>
  <c r="Q347" i="60"/>
  <c r="Q348" i="60"/>
  <c r="S348" i="60"/>
  <c r="Q344" i="60"/>
  <c r="Q116" i="60"/>
  <c r="Q119" i="60"/>
  <c r="Q121" i="60"/>
  <c r="Q126" i="60"/>
  <c r="Q128" i="60"/>
  <c r="Q129" i="60"/>
  <c r="Q336" i="60"/>
  <c r="R344" i="60"/>
  <c r="R347" i="60"/>
  <c r="R369" i="60"/>
  <c r="R121" i="60"/>
  <c r="R126" i="60"/>
  <c r="R128" i="60"/>
  <c r="R116" i="60"/>
  <c r="R119" i="60"/>
  <c r="R336" i="60"/>
  <c r="R83" i="60"/>
  <c r="R84" i="60"/>
  <c r="R85" i="60"/>
  <c r="R86" i="60"/>
  <c r="R147" i="60"/>
  <c r="R148" i="60"/>
  <c r="R348" i="60"/>
  <c r="S86" i="60"/>
  <c r="R129" i="60"/>
  <c r="G1" i="36"/>
  <c r="M9" i="73"/>
  <c r="M10" i="73" s="1"/>
  <c r="M12" i="73" s="1"/>
  <c r="M13" i="73" s="1"/>
  <c r="J9" i="73"/>
  <c r="I9" i="73"/>
  <c r="I10" i="73" s="1"/>
  <c r="I12" i="73" s="1"/>
  <c r="I13" i="73" s="1"/>
  <c r="I14" i="73" s="1"/>
  <c r="H9" i="73"/>
  <c r="H10" i="73" s="1"/>
  <c r="H12" i="73" s="1"/>
  <c r="H13" i="73" s="1"/>
  <c r="H14" i="73" s="1"/>
  <c r="G9" i="73"/>
  <c r="G10" i="73" s="1"/>
  <c r="F9" i="73"/>
  <c r="G3" i="36"/>
  <c r="H3" i="36"/>
  <c r="I3" i="36"/>
  <c r="J3" i="36"/>
  <c r="K3" i="36"/>
  <c r="L3" i="36"/>
  <c r="M3" i="36"/>
  <c r="N3" i="36"/>
  <c r="O3" i="36"/>
  <c r="P3" i="36"/>
  <c r="Q3" i="36"/>
  <c r="R3" i="36"/>
  <c r="S3" i="36"/>
  <c r="T3" i="36"/>
  <c r="U3" i="36"/>
  <c r="V3" i="36"/>
  <c r="W3" i="36"/>
  <c r="X3" i="36"/>
  <c r="Y3" i="36"/>
  <c r="Z3" i="36"/>
  <c r="AA3" i="36"/>
  <c r="O4" i="42"/>
  <c r="P4" i="42"/>
  <c r="Q4" i="42"/>
  <c r="R4" i="42"/>
  <c r="S4" i="42"/>
  <c r="T4" i="42"/>
  <c r="U4" i="42"/>
  <c r="V4" i="42"/>
  <c r="W4" i="42"/>
  <c r="X4" i="42"/>
  <c r="Y4" i="42"/>
  <c r="Z4" i="42"/>
  <c r="AA4" i="42"/>
  <c r="G4" i="42"/>
  <c r="H4" i="42"/>
  <c r="I4" i="42"/>
  <c r="J4" i="42"/>
  <c r="K4" i="42"/>
  <c r="L4" i="42"/>
  <c r="M4" i="42"/>
  <c r="O3" i="33"/>
  <c r="P3" i="33"/>
  <c r="Q3" i="33"/>
  <c r="R3" i="33"/>
  <c r="S3" i="33"/>
  <c r="T3" i="33"/>
  <c r="U3" i="33"/>
  <c r="V3" i="33"/>
  <c r="W3" i="33"/>
  <c r="X3" i="33"/>
  <c r="Y3" i="33"/>
  <c r="Z3" i="33"/>
  <c r="AA3" i="33"/>
  <c r="G3" i="33"/>
  <c r="H3" i="33"/>
  <c r="I3" i="33"/>
  <c r="J3" i="33"/>
  <c r="K3" i="33"/>
  <c r="L3" i="33"/>
  <c r="M3" i="33"/>
  <c r="O3" i="20"/>
  <c r="P3" i="20"/>
  <c r="Q3" i="20"/>
  <c r="R3" i="20"/>
  <c r="S3" i="20"/>
  <c r="T3" i="20"/>
  <c r="U3" i="20"/>
  <c r="V3" i="20"/>
  <c r="W3" i="20"/>
  <c r="X3" i="20"/>
  <c r="Y3" i="20"/>
  <c r="Z3" i="20"/>
  <c r="AA3" i="20"/>
  <c r="G3" i="20"/>
  <c r="H3" i="20"/>
  <c r="I3" i="20"/>
  <c r="J3" i="20"/>
  <c r="K3" i="20"/>
  <c r="L3" i="20"/>
  <c r="M3" i="20"/>
  <c r="O3" i="34"/>
  <c r="P3" i="34"/>
  <c r="Q3" i="34"/>
  <c r="R3" i="34"/>
  <c r="S3" i="34"/>
  <c r="T3" i="34"/>
  <c r="U3" i="34"/>
  <c r="V3" i="34"/>
  <c r="W3" i="34"/>
  <c r="X3" i="34"/>
  <c r="Y3" i="34"/>
  <c r="Z3" i="34"/>
  <c r="AA3" i="34"/>
  <c r="G3" i="34"/>
  <c r="H3" i="34"/>
  <c r="I3" i="34"/>
  <c r="J3" i="34"/>
  <c r="K3" i="34"/>
  <c r="L3" i="34"/>
  <c r="M3" i="34"/>
  <c r="Y139" i="36"/>
  <c r="X139" i="36"/>
  <c r="W139" i="36"/>
  <c r="V139" i="36"/>
  <c r="U139" i="36"/>
  <c r="T139" i="36"/>
  <c r="S139" i="36"/>
  <c r="R139" i="36"/>
  <c r="Q139" i="36"/>
  <c r="P139" i="36"/>
  <c r="O139" i="36"/>
  <c r="M139" i="36"/>
  <c r="L139" i="36"/>
  <c r="K139" i="36"/>
  <c r="J139" i="36"/>
  <c r="I139" i="36"/>
  <c r="H139" i="36"/>
  <c r="G139" i="36"/>
  <c r="F139" i="36"/>
  <c r="Y131" i="36"/>
  <c r="X131" i="36"/>
  <c r="W131" i="36"/>
  <c r="V131" i="36"/>
  <c r="U131" i="36"/>
  <c r="T131" i="36"/>
  <c r="S131" i="36"/>
  <c r="R131" i="36"/>
  <c r="Q131" i="36"/>
  <c r="P131" i="36"/>
  <c r="O131" i="36"/>
  <c r="M131" i="36"/>
  <c r="L131" i="36"/>
  <c r="K131" i="36"/>
  <c r="J131" i="36"/>
  <c r="I131" i="36"/>
  <c r="H131" i="36"/>
  <c r="G131" i="36"/>
  <c r="F131" i="36"/>
  <c r="X126" i="36"/>
  <c r="Y121" i="36"/>
  <c r="X121" i="36"/>
  <c r="Y123" i="36"/>
  <c r="Y126" i="36"/>
  <c r="Y112" i="36"/>
  <c r="X112" i="36"/>
  <c r="W112" i="36"/>
  <c r="V112" i="36"/>
  <c r="U112" i="36"/>
  <c r="T112" i="36"/>
  <c r="S112" i="36"/>
  <c r="R112" i="36"/>
  <c r="Q112" i="36"/>
  <c r="P112" i="36"/>
  <c r="O112" i="36"/>
  <c r="L112" i="36"/>
  <c r="K112" i="36"/>
  <c r="J112" i="36"/>
  <c r="I112" i="36"/>
  <c r="H112" i="36"/>
  <c r="G112" i="36"/>
  <c r="F112" i="36"/>
  <c r="Y108" i="36"/>
  <c r="X108" i="36"/>
  <c r="W108" i="36"/>
  <c r="V108" i="36"/>
  <c r="U108" i="36"/>
  <c r="T108" i="36"/>
  <c r="S108" i="36"/>
  <c r="R108" i="36"/>
  <c r="Q108" i="36"/>
  <c r="P108" i="36"/>
  <c r="O108" i="36"/>
  <c r="L108" i="36"/>
  <c r="K108" i="36"/>
  <c r="J108" i="36"/>
  <c r="I108" i="36"/>
  <c r="H108" i="36"/>
  <c r="G108" i="36"/>
  <c r="F108" i="36"/>
  <c r="F101" i="36"/>
  <c r="F94" i="36"/>
  <c r="F29" i="36"/>
  <c r="F100" i="36"/>
  <c r="X99" i="36"/>
  <c r="W99" i="36"/>
  <c r="V99" i="36"/>
  <c r="U99" i="36"/>
  <c r="T99" i="36"/>
  <c r="S99" i="36"/>
  <c r="R99" i="36"/>
  <c r="Q99" i="36"/>
  <c r="P99" i="36"/>
  <c r="O99" i="36"/>
  <c r="O101" i="36"/>
  <c r="M98" i="36"/>
  <c r="M100" i="36"/>
  <c r="L98" i="36"/>
  <c r="L100" i="36"/>
  <c r="K98" i="36"/>
  <c r="K100" i="36"/>
  <c r="J98" i="36"/>
  <c r="J100" i="36"/>
  <c r="I98" i="36"/>
  <c r="I100" i="36"/>
  <c r="H98" i="36"/>
  <c r="H100" i="36"/>
  <c r="G98" i="36"/>
  <c r="I89" i="36"/>
  <c r="I90" i="36" s="1"/>
  <c r="I25" i="36" s="1"/>
  <c r="X80" i="36"/>
  <c r="W80" i="36"/>
  <c r="V80" i="36"/>
  <c r="U80" i="36"/>
  <c r="T80" i="36"/>
  <c r="S80" i="36"/>
  <c r="R80" i="36"/>
  <c r="Q80" i="36"/>
  <c r="P80" i="36"/>
  <c r="O80" i="36"/>
  <c r="O81" i="36" s="1"/>
  <c r="O89" i="36" s="1"/>
  <c r="M80" i="36"/>
  <c r="L80" i="36"/>
  <c r="K80" i="36"/>
  <c r="J80" i="36"/>
  <c r="J81" i="36" s="1"/>
  <c r="I80" i="36"/>
  <c r="H80" i="36"/>
  <c r="G80" i="36"/>
  <c r="F80" i="36"/>
  <c r="F81" i="36" s="1"/>
  <c r="O79" i="36"/>
  <c r="L79" i="36"/>
  <c r="K79" i="36"/>
  <c r="J79" i="36"/>
  <c r="I79" i="36"/>
  <c r="I82" i="36" s="1"/>
  <c r="I84" i="36" s="1"/>
  <c r="H79" i="36"/>
  <c r="G79" i="36"/>
  <c r="F79" i="36"/>
  <c r="G78" i="36"/>
  <c r="H78" i="36"/>
  <c r="I78" i="36"/>
  <c r="J78" i="36"/>
  <c r="K78" i="36"/>
  <c r="L78" i="36"/>
  <c r="M78" i="36"/>
  <c r="N78" i="36"/>
  <c r="O78" i="36"/>
  <c r="P78" i="36"/>
  <c r="Q78" i="36"/>
  <c r="R78" i="36"/>
  <c r="S78" i="36"/>
  <c r="T78" i="36"/>
  <c r="U78" i="36"/>
  <c r="V78" i="36"/>
  <c r="W78" i="36"/>
  <c r="X78" i="36"/>
  <c r="Y78" i="36"/>
  <c r="Z78" i="36"/>
  <c r="AA78" i="36"/>
  <c r="R75" i="36"/>
  <c r="Q75" i="36"/>
  <c r="P75" i="36"/>
  <c r="O75" i="36"/>
  <c r="X73" i="36"/>
  <c r="W73" i="36"/>
  <c r="V73" i="36"/>
  <c r="U73" i="36"/>
  <c r="T73" i="36"/>
  <c r="X72" i="36"/>
  <c r="W72" i="36"/>
  <c r="V72" i="36"/>
  <c r="U72" i="36"/>
  <c r="T72" i="36"/>
  <c r="X71" i="36"/>
  <c r="W71" i="36"/>
  <c r="V71" i="36"/>
  <c r="U71" i="36"/>
  <c r="T71" i="36"/>
  <c r="X70" i="36"/>
  <c r="W70" i="36"/>
  <c r="V70" i="36"/>
  <c r="U70" i="36"/>
  <c r="T70" i="36"/>
  <c r="I70" i="36"/>
  <c r="J70" i="36"/>
  <c r="X66" i="36"/>
  <c r="W66" i="36"/>
  <c r="V66" i="36"/>
  <c r="U66" i="36"/>
  <c r="T66" i="36"/>
  <c r="S66" i="36"/>
  <c r="R66" i="36"/>
  <c r="Q66" i="36"/>
  <c r="M66" i="36"/>
  <c r="O65" i="36"/>
  <c r="P65" i="36" s="1"/>
  <c r="X64" i="36"/>
  <c r="W64" i="36"/>
  <c r="V64" i="36"/>
  <c r="U64" i="36"/>
  <c r="T64" i="36"/>
  <c r="S64" i="36"/>
  <c r="R64" i="36"/>
  <c r="Q64" i="36"/>
  <c r="P64" i="36"/>
  <c r="O64" i="36"/>
  <c r="M64" i="36"/>
  <c r="L63" i="36"/>
  <c r="L67" i="36" s="1"/>
  <c r="L69" i="36" s="1"/>
  <c r="L74" i="36" s="1"/>
  <c r="K63" i="36"/>
  <c r="K67" i="36" s="1"/>
  <c r="K69" i="36" s="1"/>
  <c r="K74" i="36" s="1"/>
  <c r="J63" i="36"/>
  <c r="J67" i="36" s="1"/>
  <c r="J69" i="36" s="1"/>
  <c r="J74" i="36" s="1"/>
  <c r="I63" i="36"/>
  <c r="I67" i="36" s="1"/>
  <c r="I69" i="36" s="1"/>
  <c r="I74" i="36" s="1"/>
  <c r="H63" i="36"/>
  <c r="H67" i="36" s="1"/>
  <c r="H69" i="36" s="1"/>
  <c r="H74" i="36" s="1"/>
  <c r="G63" i="36"/>
  <c r="G67" i="36" s="1"/>
  <c r="G69" i="36" s="1"/>
  <c r="G74" i="36" s="1"/>
  <c r="F63" i="36"/>
  <c r="F67" i="36"/>
  <c r="X62" i="36"/>
  <c r="X67" i="36" s="1"/>
  <c r="X69" i="36" s="1"/>
  <c r="W62" i="36"/>
  <c r="W67" i="36" s="1"/>
  <c r="W69" i="36" s="1"/>
  <c r="V62" i="36"/>
  <c r="V67" i="36" s="1"/>
  <c r="V69" i="36" s="1"/>
  <c r="U62" i="36"/>
  <c r="U67" i="36" s="1"/>
  <c r="U69" i="36" s="1"/>
  <c r="T62" i="36"/>
  <c r="T67" i="36" s="1"/>
  <c r="T69" i="36" s="1"/>
  <c r="H62" i="36"/>
  <c r="I60" i="36"/>
  <c r="X57" i="36"/>
  <c r="W57" i="36"/>
  <c r="V57" i="36"/>
  <c r="U57" i="36"/>
  <c r="T57" i="36"/>
  <c r="L57" i="36"/>
  <c r="K57" i="36"/>
  <c r="J57" i="36"/>
  <c r="X56" i="36"/>
  <c r="W56" i="36"/>
  <c r="V56" i="36"/>
  <c r="U56" i="36"/>
  <c r="T56" i="36"/>
  <c r="X53" i="36"/>
  <c r="W53" i="36"/>
  <c r="V53" i="36"/>
  <c r="U53" i="36"/>
  <c r="T53" i="36"/>
  <c r="S53" i="36"/>
  <c r="R53" i="36"/>
  <c r="Q53" i="36"/>
  <c r="M53" i="36"/>
  <c r="X51" i="36"/>
  <c r="W51" i="36"/>
  <c r="V51" i="36"/>
  <c r="U51" i="36"/>
  <c r="T51" i="36"/>
  <c r="S50" i="36"/>
  <c r="T50" i="36" s="1"/>
  <c r="U50" i="36" s="1"/>
  <c r="V50" i="36" s="1"/>
  <c r="W50" i="36" s="1"/>
  <c r="X50" i="36" s="1"/>
  <c r="R49" i="36"/>
  <c r="S49" i="36" s="1"/>
  <c r="T49" i="36" s="1"/>
  <c r="U49" i="36" s="1"/>
  <c r="V49" i="36" s="1"/>
  <c r="W49" i="36" s="1"/>
  <c r="X49" i="36" s="1"/>
  <c r="Q48" i="36"/>
  <c r="R48" i="36" s="1"/>
  <c r="S48" i="36" s="1"/>
  <c r="T48" i="36" s="1"/>
  <c r="U48" i="36" s="1"/>
  <c r="V48" i="36" s="1"/>
  <c r="W48" i="36" s="1"/>
  <c r="X48" i="36" s="1"/>
  <c r="O47" i="36"/>
  <c r="P47" i="36" s="1"/>
  <c r="Q47" i="36" s="1"/>
  <c r="R47" i="36" s="1"/>
  <c r="S47" i="36" s="1"/>
  <c r="T47" i="36" s="1"/>
  <c r="U47" i="36" s="1"/>
  <c r="V47" i="36" s="1"/>
  <c r="W47" i="36" s="1"/>
  <c r="X47" i="36" s="1"/>
  <c r="X46" i="36"/>
  <c r="W46" i="36"/>
  <c r="V46" i="36"/>
  <c r="U46" i="36"/>
  <c r="T46" i="36"/>
  <c r="S46" i="36"/>
  <c r="R46" i="36"/>
  <c r="Q46" i="36"/>
  <c r="P46" i="36"/>
  <c r="O46" i="36"/>
  <c r="M46" i="36"/>
  <c r="L46" i="36"/>
  <c r="K46" i="36"/>
  <c r="J46" i="36"/>
  <c r="I46" i="36"/>
  <c r="H46" i="36"/>
  <c r="G46" i="36"/>
  <c r="F46" i="36"/>
  <c r="X45" i="36"/>
  <c r="X54" i="36" s="1"/>
  <c r="X58" i="36" s="1"/>
  <c r="W45" i="36"/>
  <c r="W54" i="36" s="1"/>
  <c r="W58" i="36" s="1"/>
  <c r="V45" i="36"/>
  <c r="V54" i="36" s="1"/>
  <c r="V58" i="36" s="1"/>
  <c r="U45" i="36"/>
  <c r="U54" i="36" s="1"/>
  <c r="U58" i="36" s="1"/>
  <c r="T45" i="36"/>
  <c r="T54" i="36" s="1"/>
  <c r="T58" i="36" s="1"/>
  <c r="S45" i="36"/>
  <c r="S54" i="36" s="1"/>
  <c r="S58" i="36" s="1"/>
  <c r="R45" i="36"/>
  <c r="R54" i="36" s="1"/>
  <c r="R58" i="36" s="1"/>
  <c r="Q45" i="36"/>
  <c r="Q54" i="36" s="1"/>
  <c r="Q58" i="36" s="1"/>
  <c r="P45" i="36"/>
  <c r="P54" i="36" s="1"/>
  <c r="P58" i="36" s="1"/>
  <c r="O45" i="36"/>
  <c r="O54" i="36" s="1"/>
  <c r="O58" i="36" s="1"/>
  <c r="L45" i="36"/>
  <c r="L54" i="36" s="1"/>
  <c r="L58" i="36" s="1"/>
  <c r="K45" i="36"/>
  <c r="K54" i="36" s="1"/>
  <c r="K58" i="36" s="1"/>
  <c r="J45" i="36"/>
  <c r="J54" i="36" s="1"/>
  <c r="J58" i="36" s="1"/>
  <c r="I45" i="36"/>
  <c r="I54" i="36" s="1"/>
  <c r="I58" i="36" s="1"/>
  <c r="H45" i="36"/>
  <c r="H54" i="36" s="1"/>
  <c r="H58" i="36" s="1"/>
  <c r="G45" i="36"/>
  <c r="G54" i="36" s="1"/>
  <c r="G58" i="36" s="1"/>
  <c r="F45" i="36"/>
  <c r="F54" i="36" s="1"/>
  <c r="F58" i="36" s="1"/>
  <c r="L44" i="36"/>
  <c r="K44" i="36"/>
  <c r="J44" i="36"/>
  <c r="I44" i="36"/>
  <c r="H44" i="36"/>
  <c r="G44" i="36"/>
  <c r="F44" i="36"/>
  <c r="X43" i="36"/>
  <c r="W43" i="36"/>
  <c r="V43" i="36"/>
  <c r="U43" i="36"/>
  <c r="T43" i="36"/>
  <c r="X41" i="36"/>
  <c r="W41" i="36"/>
  <c r="V41" i="36"/>
  <c r="U41" i="36"/>
  <c r="T41" i="36"/>
  <c r="X40" i="36"/>
  <c r="W40" i="36"/>
  <c r="V40" i="36"/>
  <c r="U40" i="36"/>
  <c r="T40" i="36"/>
  <c r="S40" i="36"/>
  <c r="S44" i="36" s="1"/>
  <c r="R40" i="36"/>
  <c r="R44" i="36" s="1"/>
  <c r="Q40" i="36"/>
  <c r="Q44" i="36" s="1"/>
  <c r="P40" i="36"/>
  <c r="P44" i="36" s="1"/>
  <c r="O40" i="36"/>
  <c r="O44" i="36" s="1"/>
  <c r="M40" i="36"/>
  <c r="M44" i="36" s="1"/>
  <c r="X39" i="36"/>
  <c r="W39" i="36"/>
  <c r="V39" i="36"/>
  <c r="U39" i="36"/>
  <c r="T39" i="36"/>
  <c r="Q39" i="36"/>
  <c r="P39" i="36"/>
  <c r="O39" i="36"/>
  <c r="X38" i="36"/>
  <c r="W38" i="36"/>
  <c r="V38" i="36"/>
  <c r="U38" i="36"/>
  <c r="T38" i="36"/>
  <c r="X37" i="36"/>
  <c r="W37" i="36"/>
  <c r="V37" i="36"/>
  <c r="U37" i="36"/>
  <c r="T37" i="36"/>
  <c r="X36" i="36"/>
  <c r="W36" i="36"/>
  <c r="V36" i="36"/>
  <c r="U36" i="36"/>
  <c r="T36" i="36"/>
  <c r="X35" i="36"/>
  <c r="W35" i="36"/>
  <c r="V35" i="36"/>
  <c r="U35" i="36"/>
  <c r="T35" i="36"/>
  <c r="X34" i="36"/>
  <c r="X44" i="36" s="1"/>
  <c r="W34" i="36"/>
  <c r="W44" i="36" s="1"/>
  <c r="V34" i="36"/>
  <c r="V44" i="36" s="1"/>
  <c r="U34" i="36"/>
  <c r="U44" i="36" s="1"/>
  <c r="T34" i="36"/>
  <c r="T44" i="36" s="1"/>
  <c r="S34" i="36"/>
  <c r="R34" i="36"/>
  <c r="Q34" i="36"/>
  <c r="P34" i="36"/>
  <c r="G33" i="36"/>
  <c r="H33" i="36"/>
  <c r="I33" i="36"/>
  <c r="J33" i="36"/>
  <c r="K33" i="36"/>
  <c r="L33" i="36"/>
  <c r="M33" i="36"/>
  <c r="N33" i="36"/>
  <c r="O33" i="36"/>
  <c r="P33" i="36"/>
  <c r="Q33" i="36"/>
  <c r="R33" i="36"/>
  <c r="S33" i="36"/>
  <c r="T33" i="36"/>
  <c r="U33" i="36"/>
  <c r="V33" i="36"/>
  <c r="W33" i="36"/>
  <c r="X33" i="36"/>
  <c r="Y33" i="36"/>
  <c r="Z33" i="36"/>
  <c r="AA33" i="36"/>
  <c r="X22" i="36"/>
  <c r="W22" i="36"/>
  <c r="V22" i="36"/>
  <c r="U22" i="36"/>
  <c r="T22" i="36"/>
  <c r="X21" i="36"/>
  <c r="W21" i="36"/>
  <c r="V21" i="36"/>
  <c r="U21" i="36"/>
  <c r="T21" i="36"/>
  <c r="X19" i="36"/>
  <c r="W19" i="36"/>
  <c r="V19" i="36"/>
  <c r="U19" i="36"/>
  <c r="T19" i="36"/>
  <c r="X18" i="36"/>
  <c r="W18" i="36"/>
  <c r="V18" i="36"/>
  <c r="U18" i="36"/>
  <c r="T18" i="36"/>
  <c r="X17" i="36"/>
  <c r="W17" i="36"/>
  <c r="V17" i="36"/>
  <c r="U17" i="36"/>
  <c r="T17" i="36"/>
  <c r="X16" i="36"/>
  <c r="W16" i="36"/>
  <c r="V16" i="36"/>
  <c r="U16" i="36"/>
  <c r="T16" i="36"/>
  <c r="L15" i="36"/>
  <c r="I15" i="36"/>
  <c r="H15" i="36"/>
  <c r="F15" i="36"/>
  <c r="X14" i="36"/>
  <c r="W14" i="36"/>
  <c r="V14" i="36"/>
  <c r="U14" i="36"/>
  <c r="T14" i="36"/>
  <c r="X13" i="36"/>
  <c r="W13" i="36"/>
  <c r="V13" i="36"/>
  <c r="U13" i="36"/>
  <c r="T13" i="36"/>
  <c r="X12" i="36"/>
  <c r="W12" i="36"/>
  <c r="V12" i="36"/>
  <c r="U12" i="36"/>
  <c r="T12" i="36"/>
  <c r="S12" i="36"/>
  <c r="S15" i="36" s="1"/>
  <c r="R12" i="36"/>
  <c r="R15" i="36" s="1"/>
  <c r="Q12" i="36"/>
  <c r="Q15" i="36" s="1"/>
  <c r="P12" i="36"/>
  <c r="P15" i="36" s="1"/>
  <c r="O12" i="36"/>
  <c r="O15" i="36" s="1"/>
  <c r="M12" i="36"/>
  <c r="M15" i="36" s="1"/>
  <c r="X11" i="36"/>
  <c r="W11" i="36"/>
  <c r="V11" i="36"/>
  <c r="U11" i="36"/>
  <c r="T11" i="36"/>
  <c r="X10" i="36"/>
  <c r="W10" i="36"/>
  <c r="V10" i="36"/>
  <c r="U10" i="36"/>
  <c r="T10" i="36"/>
  <c r="M10" i="36"/>
  <c r="K10" i="36"/>
  <c r="K15" i="36"/>
  <c r="J10" i="36"/>
  <c r="J15" i="36"/>
  <c r="G10" i="36"/>
  <c r="G15" i="36"/>
  <c r="X9" i="36"/>
  <c r="W9" i="36"/>
  <c r="V9" i="36"/>
  <c r="U9" i="36"/>
  <c r="T9" i="36"/>
  <c r="X8" i="36"/>
  <c r="W8" i="36"/>
  <c r="V8" i="36"/>
  <c r="U8" i="36"/>
  <c r="T8" i="36"/>
  <c r="X7" i="36"/>
  <c r="W7" i="36"/>
  <c r="V7" i="36"/>
  <c r="U7" i="36"/>
  <c r="T7" i="36"/>
  <c r="X6" i="36"/>
  <c r="W6" i="36"/>
  <c r="V6" i="36"/>
  <c r="U6" i="36"/>
  <c r="T6" i="36"/>
  <c r="X5" i="36"/>
  <c r="W5" i="36"/>
  <c r="V5" i="36"/>
  <c r="U5" i="36"/>
  <c r="X4" i="36"/>
  <c r="X15" i="36" s="1"/>
  <c r="W4" i="36"/>
  <c r="W15" i="36" s="1"/>
  <c r="V4" i="36"/>
  <c r="V15" i="36" s="1"/>
  <c r="U4" i="36"/>
  <c r="U15" i="36" s="1"/>
  <c r="T4" i="36"/>
  <c r="T15" i="36" s="1"/>
  <c r="O94" i="36"/>
  <c r="O29" i="36"/>
  <c r="O68" i="36"/>
  <c r="F68" i="36"/>
  <c r="F69" i="36"/>
  <c r="F74" i="36" s="1"/>
  <c r="G101" i="36"/>
  <c r="G94" i="36"/>
  <c r="G29" i="36"/>
  <c r="G100" i="36"/>
  <c r="P101" i="36"/>
  <c r="Q101" i="36"/>
  <c r="G68" i="36"/>
  <c r="H101" i="36"/>
  <c r="P68" i="36"/>
  <c r="P94" i="36"/>
  <c r="P29" i="36"/>
  <c r="Q68" i="36"/>
  <c r="R101" i="36"/>
  <c r="Q94" i="36"/>
  <c r="H68" i="36"/>
  <c r="I101" i="36"/>
  <c r="H94" i="36"/>
  <c r="G83" i="36"/>
  <c r="G91" i="36" s="1"/>
  <c r="G26" i="36" s="1"/>
  <c r="J83" i="36"/>
  <c r="J91" i="36" s="1"/>
  <c r="J26" i="36" s="1"/>
  <c r="F83" i="36"/>
  <c r="F91" i="36" s="1"/>
  <c r="F26" i="36" s="1"/>
  <c r="M83" i="36"/>
  <c r="M91" i="36" s="1"/>
  <c r="M26" i="36" s="1"/>
  <c r="L83" i="36"/>
  <c r="L91" i="36" s="1"/>
  <c r="L26" i="36" s="1"/>
  <c r="K83" i="36"/>
  <c r="K91" i="36" s="1"/>
  <c r="K26" i="36" s="1"/>
  <c r="H83" i="36"/>
  <c r="H91" i="36" s="1"/>
  <c r="H26" i="36" s="1"/>
  <c r="I83" i="36"/>
  <c r="I91" i="36" s="1"/>
  <c r="I26" i="36" s="1"/>
  <c r="I68" i="36"/>
  <c r="J101" i="36"/>
  <c r="I94" i="36"/>
  <c r="Q29" i="36"/>
  <c r="H29" i="36"/>
  <c r="R68" i="36"/>
  <c r="S101" i="36"/>
  <c r="R94" i="36"/>
  <c r="R29" i="36"/>
  <c r="S68" i="36"/>
  <c r="T101" i="36"/>
  <c r="S94" i="36"/>
  <c r="I29" i="36"/>
  <c r="J68" i="36"/>
  <c r="K101" i="36"/>
  <c r="J94" i="36"/>
  <c r="K68" i="36"/>
  <c r="L101" i="36"/>
  <c r="K94" i="36"/>
  <c r="S29" i="36"/>
  <c r="T68" i="36"/>
  <c r="U101" i="36"/>
  <c r="T94" i="36"/>
  <c r="J29" i="36"/>
  <c r="M79" i="36"/>
  <c r="M108" i="36"/>
  <c r="M112" i="36"/>
  <c r="M45" i="36"/>
  <c r="M54" i="36" s="1"/>
  <c r="M58" i="36" s="1"/>
  <c r="T29" i="36"/>
  <c r="K29" i="36"/>
  <c r="L68" i="36"/>
  <c r="M101" i="36"/>
  <c r="L94" i="36"/>
  <c r="U68" i="36"/>
  <c r="V101" i="36"/>
  <c r="U94" i="36"/>
  <c r="W101" i="36"/>
  <c r="V94" i="36"/>
  <c r="V68" i="36"/>
  <c r="M94" i="36"/>
  <c r="M68" i="36"/>
  <c r="U29" i="36"/>
  <c r="L29" i="36"/>
  <c r="M29" i="36"/>
  <c r="V29" i="36"/>
  <c r="W68" i="36"/>
  <c r="X101" i="36"/>
  <c r="W94" i="36"/>
  <c r="X68" i="36"/>
  <c r="X94" i="36"/>
  <c r="W29" i="36"/>
  <c r="X29" i="36"/>
  <c r="S79" i="36"/>
  <c r="T5" i="36"/>
  <c r="R85" i="36"/>
  <c r="R93" i="36" s="1"/>
  <c r="Q85" i="36"/>
  <c r="Q93" i="36" s="1"/>
  <c r="P85" i="36"/>
  <c r="P93" i="36" s="1"/>
  <c r="O85" i="36"/>
  <c r="O93" i="36" s="1"/>
  <c r="O95" i="36" s="1"/>
  <c r="S85" i="36"/>
  <c r="S93" i="36" s="1"/>
  <c r="S95" i="36" s="1"/>
  <c r="T85" i="36"/>
  <c r="T93" i="36" s="1"/>
  <c r="S83" i="36"/>
  <c r="S91" i="36" s="1"/>
  <c r="S26" i="36" s="1"/>
  <c r="O83" i="36"/>
  <c r="O91" i="36" s="1"/>
  <c r="O26" i="36" s="1"/>
  <c r="P83" i="36"/>
  <c r="P91" i="36" s="1"/>
  <c r="P26" i="36" s="1"/>
  <c r="R83" i="36"/>
  <c r="R91" i="36" s="1"/>
  <c r="R26" i="36" s="1"/>
  <c r="Q83" i="36"/>
  <c r="Q91" i="36" s="1"/>
  <c r="Q26" i="36" s="1"/>
  <c r="U85" i="36"/>
  <c r="U93" i="36" s="1"/>
  <c r="V85" i="36"/>
  <c r="V93" i="36" s="1"/>
  <c r="W85" i="36"/>
  <c r="W93" i="36" s="1"/>
  <c r="W28" i="36" s="1"/>
  <c r="W30" i="36" s="1"/>
  <c r="X85" i="36"/>
  <c r="X93" i="36" s="1"/>
  <c r="AN122" i="36"/>
  <c r="AM122" i="36"/>
  <c r="AL122" i="36"/>
  <c r="AK122" i="36"/>
  <c r="AJ122" i="36"/>
  <c r="AI122" i="36"/>
  <c r="AH122" i="36"/>
  <c r="AG122" i="36"/>
  <c r="AF122" i="36"/>
  <c r="AE122" i="36"/>
  <c r="AD122" i="36"/>
  <c r="AD118" i="36"/>
  <c r="AD114" i="36"/>
  <c r="AN110" i="36"/>
  <c r="AM110" i="36"/>
  <c r="AL110" i="36"/>
  <c r="AK110" i="36"/>
  <c r="AJ110" i="36"/>
  <c r="AI110" i="36"/>
  <c r="AH110" i="36"/>
  <c r="AG110" i="36"/>
  <c r="AF110" i="36"/>
  <c r="AE110" i="36"/>
  <c r="AD110" i="36"/>
  <c r="AN102" i="36"/>
  <c r="AM102" i="36"/>
  <c r="AL102" i="36"/>
  <c r="AK102" i="36"/>
  <c r="AJ102" i="36"/>
  <c r="AI102" i="36"/>
  <c r="AH102" i="36"/>
  <c r="AG102" i="36"/>
  <c r="AF102" i="36"/>
  <c r="AE102" i="36"/>
  <c r="AD102" i="36"/>
  <c r="AN93" i="36"/>
  <c r="AM93" i="36"/>
  <c r="AL93" i="36"/>
  <c r="AK93" i="36"/>
  <c r="AJ93" i="36"/>
  <c r="AI93" i="36"/>
  <c r="AH93" i="36"/>
  <c r="AG93" i="36"/>
  <c r="AG106" i="36"/>
  <c r="AF93" i="36"/>
  <c r="AE93" i="36"/>
  <c r="AD93" i="36"/>
  <c r="AL106" i="36"/>
  <c r="AE106" i="36"/>
  <c r="AM106" i="36"/>
  <c r="T83" i="36"/>
  <c r="T91" i="36" s="1"/>
  <c r="T26" i="36" s="1"/>
  <c r="AJ106" i="36"/>
  <c r="AI106" i="36"/>
  <c r="AH106" i="36"/>
  <c r="AF106" i="36"/>
  <c r="AN106" i="36"/>
  <c r="AK106" i="36"/>
  <c r="AD106" i="36"/>
  <c r="I85" i="36"/>
  <c r="I93" i="36" s="1"/>
  <c r="I95" i="36" s="1"/>
  <c r="M85" i="36"/>
  <c r="M93" i="36" s="1"/>
  <c r="J85" i="36"/>
  <c r="J93" i="36" s="1"/>
  <c r="X83" i="36"/>
  <c r="X91" i="36" s="1"/>
  <c r="X26" i="36" s="1"/>
  <c r="U83" i="36"/>
  <c r="U91" i="36" s="1"/>
  <c r="U26" i="36" s="1"/>
  <c r="L85" i="36"/>
  <c r="L93" i="36" s="1"/>
  <c r="L95" i="36" s="1"/>
  <c r="V83" i="36"/>
  <c r="V91" i="36" s="1"/>
  <c r="V26" i="36" s="1"/>
  <c r="W83" i="36"/>
  <c r="W91" i="36" s="1"/>
  <c r="W26" i="36" s="1"/>
  <c r="K85" i="36"/>
  <c r="K93" i="36" s="1"/>
  <c r="W79" i="36"/>
  <c r="P79" i="36"/>
  <c r="U79" i="36"/>
  <c r="V79" i="36"/>
  <c r="X79" i="36"/>
  <c r="O1" i="41"/>
  <c r="Z1" i="43"/>
  <c r="T1" i="31"/>
  <c r="AA1" i="33"/>
  <c r="V2" i="26"/>
  <c r="AA1" i="20"/>
  <c r="AA1" i="34"/>
  <c r="AA1" i="36"/>
  <c r="F4" i="24"/>
  <c r="G4" i="24"/>
  <c r="H4" i="24"/>
  <c r="I4" i="24"/>
  <c r="J4" i="24"/>
  <c r="K4" i="24"/>
  <c r="L4" i="24"/>
  <c r="M4" i="24"/>
  <c r="N4" i="24"/>
  <c r="O4" i="24"/>
  <c r="P4" i="24"/>
  <c r="Q4" i="24"/>
  <c r="R4" i="24"/>
  <c r="S4" i="24"/>
  <c r="T4" i="24"/>
  <c r="U4" i="24"/>
  <c r="V4" i="24"/>
  <c r="W4" i="24"/>
  <c r="X4" i="24"/>
  <c r="Y4" i="24"/>
  <c r="Z4" i="24"/>
  <c r="F3" i="24"/>
  <c r="G3" i="24"/>
  <c r="H3" i="24"/>
  <c r="I3" i="24"/>
  <c r="J3" i="24"/>
  <c r="K3" i="24"/>
  <c r="L3" i="24"/>
  <c r="M3" i="24"/>
  <c r="N3" i="24"/>
  <c r="O3" i="24"/>
  <c r="P3" i="24"/>
  <c r="Q3" i="24"/>
  <c r="R3" i="24"/>
  <c r="S3" i="24"/>
  <c r="T3" i="24"/>
  <c r="U3" i="24"/>
  <c r="V3" i="24"/>
  <c r="W3" i="24"/>
  <c r="X3" i="24"/>
  <c r="Y3" i="24"/>
  <c r="Z3" i="24"/>
  <c r="Z2" i="24"/>
  <c r="A1" i="24"/>
  <c r="F3" i="43"/>
  <c r="G3" i="43"/>
  <c r="H3" i="43"/>
  <c r="I3" i="43"/>
  <c r="J3" i="43"/>
  <c r="K3" i="43"/>
  <c r="L3" i="43"/>
  <c r="M3" i="43"/>
  <c r="N3" i="43"/>
  <c r="O3" i="43"/>
  <c r="P3" i="43"/>
  <c r="Q3" i="43"/>
  <c r="R3" i="43"/>
  <c r="S3" i="43"/>
  <c r="T3" i="43"/>
  <c r="U3" i="43"/>
  <c r="V3" i="43"/>
  <c r="W3" i="43"/>
  <c r="X3" i="43"/>
  <c r="Y3" i="43"/>
  <c r="Z3" i="43"/>
  <c r="F2" i="43"/>
  <c r="G2" i="43"/>
  <c r="H2" i="43"/>
  <c r="I2" i="43"/>
  <c r="J2" i="43"/>
  <c r="K2" i="43"/>
  <c r="L2" i="43"/>
  <c r="M2" i="43"/>
  <c r="N2" i="43"/>
  <c r="O2" i="43"/>
  <c r="P2" i="43"/>
  <c r="Q2" i="43"/>
  <c r="R2" i="43"/>
  <c r="S2" i="43"/>
  <c r="T2" i="43"/>
  <c r="U2" i="43"/>
  <c r="V2" i="43"/>
  <c r="W2" i="43"/>
  <c r="X2" i="43"/>
  <c r="Y2" i="43"/>
  <c r="Z2" i="43"/>
  <c r="G2" i="33"/>
  <c r="H2" i="33"/>
  <c r="I2" i="33"/>
  <c r="J2" i="33"/>
  <c r="K2" i="33"/>
  <c r="L2" i="33"/>
  <c r="M2" i="33"/>
  <c r="N2" i="33"/>
  <c r="O2" i="33"/>
  <c r="P2" i="33"/>
  <c r="Q2" i="33"/>
  <c r="R2" i="33"/>
  <c r="S2" i="33"/>
  <c r="T2" i="33"/>
  <c r="U2" i="33"/>
  <c r="V2" i="33"/>
  <c r="W2" i="33"/>
  <c r="X2" i="33"/>
  <c r="Y2" i="33"/>
  <c r="Z2" i="33"/>
  <c r="AA2" i="33"/>
  <c r="G2" i="20"/>
  <c r="H2" i="20"/>
  <c r="I2" i="20"/>
  <c r="J2" i="20"/>
  <c r="K2" i="20"/>
  <c r="L2" i="20"/>
  <c r="M2" i="20"/>
  <c r="N2" i="20"/>
  <c r="O2" i="20"/>
  <c r="P2" i="20"/>
  <c r="Q2" i="20"/>
  <c r="R2" i="20"/>
  <c r="S2" i="20"/>
  <c r="T2" i="20"/>
  <c r="U2" i="20"/>
  <c r="V2" i="20"/>
  <c r="W2" i="20"/>
  <c r="X2" i="20"/>
  <c r="Y2" i="20"/>
  <c r="Z2" i="20"/>
  <c r="AA2" i="20"/>
  <c r="G2" i="34"/>
  <c r="H2" i="34"/>
  <c r="I2" i="34"/>
  <c r="J2" i="34"/>
  <c r="K2" i="34"/>
  <c r="L2" i="34"/>
  <c r="M2" i="34"/>
  <c r="N2" i="34"/>
  <c r="O2" i="34"/>
  <c r="P2" i="34"/>
  <c r="Q2" i="34"/>
  <c r="R2" i="34"/>
  <c r="S2" i="34"/>
  <c r="T2" i="34"/>
  <c r="U2" i="34"/>
  <c r="V2" i="34"/>
  <c r="W2" i="34"/>
  <c r="X2" i="34"/>
  <c r="Y2" i="34"/>
  <c r="Z2" i="34"/>
  <c r="AA2" i="34"/>
  <c r="G2" i="36"/>
  <c r="H2" i="36"/>
  <c r="I2" i="36"/>
  <c r="J2" i="36"/>
  <c r="K2" i="36"/>
  <c r="L2" i="36"/>
  <c r="M2" i="36"/>
  <c r="N2" i="36"/>
  <c r="O2" i="36"/>
  <c r="P2" i="36"/>
  <c r="Q2" i="36"/>
  <c r="R2" i="36"/>
  <c r="S2" i="36"/>
  <c r="T2" i="36"/>
  <c r="U2" i="36"/>
  <c r="V2" i="36"/>
  <c r="W2" i="36"/>
  <c r="X2" i="36"/>
  <c r="Y2" i="36"/>
  <c r="Z2" i="36"/>
  <c r="AA2" i="36"/>
  <c r="H85" i="36"/>
  <c r="H93" i="36" s="1"/>
  <c r="H28" i="36" s="1"/>
  <c r="H30" i="36" s="1"/>
  <c r="G85" i="36"/>
  <c r="G93" i="36" s="1"/>
  <c r="G28" i="36" s="1"/>
  <c r="G30" i="36" s="1"/>
  <c r="F85" i="36"/>
  <c r="F93" i="36" s="1"/>
  <c r="U5" i="20"/>
  <c r="V5" i="20"/>
  <c r="W5" i="20"/>
  <c r="X5" i="20"/>
  <c r="Y5" i="20"/>
  <c r="U6" i="20"/>
  <c r="U11" i="20" s="1"/>
  <c r="V6" i="20"/>
  <c r="V11" i="20" s="1"/>
  <c r="W6" i="20"/>
  <c r="X6" i="20"/>
  <c r="X11" i="20" s="1"/>
  <c r="Y6" i="20"/>
  <c r="Y11" i="20" s="1"/>
  <c r="U10" i="20"/>
  <c r="V10" i="20"/>
  <c r="V18" i="20" s="1"/>
  <c r="W10" i="20"/>
  <c r="W18" i="20" s="1"/>
  <c r="X10" i="20"/>
  <c r="Y10" i="20"/>
  <c r="Y18" i="20" s="1"/>
  <c r="U13" i="20"/>
  <c r="U19" i="20" s="1"/>
  <c r="V13" i="20"/>
  <c r="V19" i="20" s="1"/>
  <c r="W13" i="20"/>
  <c r="W19" i="20" s="1"/>
  <c r="X13" i="20"/>
  <c r="X19" i="20" s="1"/>
  <c r="Y13" i="20"/>
  <c r="Y19" i="20" s="1"/>
  <c r="U14" i="20"/>
  <c r="U20" i="20" s="1"/>
  <c r="V14" i="20"/>
  <c r="V20" i="20" s="1"/>
  <c r="W14" i="20"/>
  <c r="W20" i="20" s="1"/>
  <c r="X14" i="20"/>
  <c r="X20" i="20" s="1"/>
  <c r="Y14" i="20"/>
  <c r="Y20" i="20" s="1"/>
  <c r="Q79" i="36"/>
  <c r="R79" i="36"/>
  <c r="T79" i="36"/>
  <c r="Y23" i="20"/>
  <c r="P14" i="20"/>
  <c r="P20" i="20" s="1"/>
  <c r="Q14" i="20"/>
  <c r="Q20" i="20" s="1"/>
  <c r="R14" i="20"/>
  <c r="R20" i="20" s="1"/>
  <c r="S14" i="20"/>
  <c r="S20" i="20" s="1"/>
  <c r="T14" i="20"/>
  <c r="T20" i="20" s="1"/>
  <c r="O14" i="20"/>
  <c r="O20" i="20" s="1"/>
  <c r="P13" i="20"/>
  <c r="P19" i="20" s="1"/>
  <c r="Q13" i="20"/>
  <c r="Q19" i="20" s="1"/>
  <c r="R13" i="20"/>
  <c r="R19" i="20" s="1"/>
  <c r="S13" i="20"/>
  <c r="S19" i="20" s="1"/>
  <c r="T13" i="20"/>
  <c r="T19" i="20" s="1"/>
  <c r="O13" i="20"/>
  <c r="O19" i="20" s="1"/>
  <c r="P6" i="20"/>
  <c r="Q6" i="20"/>
  <c r="Q11" i="20" s="1"/>
  <c r="R6" i="20"/>
  <c r="R11" i="20" s="1"/>
  <c r="S6" i="20"/>
  <c r="S11" i="20" s="1"/>
  <c r="T6" i="20"/>
  <c r="O6" i="20"/>
  <c r="O11" i="20" s="1"/>
  <c r="E153" i="31"/>
  <c r="F153" i="31"/>
  <c r="G153" i="31"/>
  <c r="H153" i="31"/>
  <c r="I153" i="31"/>
  <c r="D153" i="31"/>
  <c r="T5" i="20"/>
  <c r="T40" i="20" s="1"/>
  <c r="T52" i="20" s="1"/>
  <c r="S5" i="20"/>
  <c r="S40" i="20" s="1"/>
  <c r="S52" i="20" s="1"/>
  <c r="M35" i="26" s="1"/>
  <c r="T35" i="26" s="1"/>
  <c r="R5" i="20"/>
  <c r="Q5" i="20"/>
  <c r="Q40" i="20" s="1"/>
  <c r="P5" i="20"/>
  <c r="P40" i="20" s="1"/>
  <c r="P62" i="20"/>
  <c r="Q62" i="20"/>
  <c r="R62" i="20"/>
  <c r="S62" i="20"/>
  <c r="T62" i="20"/>
  <c r="P76" i="23"/>
  <c r="Q76" i="23"/>
  <c r="R76" i="23"/>
  <c r="S76" i="23"/>
  <c r="T76" i="23"/>
  <c r="O76" i="23"/>
  <c r="D94" i="31"/>
  <c r="E94" i="31"/>
  <c r="F94" i="31"/>
  <c r="G94" i="31"/>
  <c r="H94" i="31"/>
  <c r="I94" i="31"/>
  <c r="D97" i="31"/>
  <c r="E97" i="31"/>
  <c r="F97" i="31"/>
  <c r="G97" i="31"/>
  <c r="H97" i="31"/>
  <c r="I97" i="31"/>
  <c r="I98" i="31"/>
  <c r="D99" i="31"/>
  <c r="E99" i="31"/>
  <c r="F99" i="31"/>
  <c r="G99" i="31"/>
  <c r="H99" i="31"/>
  <c r="I99" i="31"/>
  <c r="D102" i="31"/>
  <c r="E102" i="31"/>
  <c r="F102" i="31"/>
  <c r="G102" i="31"/>
  <c r="H102" i="31"/>
  <c r="I102" i="31"/>
  <c r="D108" i="31"/>
  <c r="E108" i="31"/>
  <c r="F108" i="31"/>
  <c r="G108" i="31"/>
  <c r="H108" i="31"/>
  <c r="I108" i="31"/>
  <c r="D109" i="31"/>
  <c r="D110" i="31"/>
  <c r="E110" i="31"/>
  <c r="F110" i="31"/>
  <c r="G110" i="31"/>
  <c r="H110" i="31"/>
  <c r="I110" i="31"/>
  <c r="D111" i="31"/>
  <c r="E111" i="31"/>
  <c r="F111" i="31"/>
  <c r="G111" i="31"/>
  <c r="H111" i="31"/>
  <c r="I111" i="31"/>
  <c r="D115" i="31"/>
  <c r="E115" i="31"/>
  <c r="F115" i="31"/>
  <c r="G115" i="31"/>
  <c r="H115" i="31"/>
  <c r="I115" i="31"/>
  <c r="D120" i="31"/>
  <c r="E120" i="31"/>
  <c r="F120" i="31"/>
  <c r="G120" i="31"/>
  <c r="H120" i="31"/>
  <c r="I120" i="31"/>
  <c r="D124" i="31"/>
  <c r="E124" i="31"/>
  <c r="F124" i="31"/>
  <c r="G124" i="31"/>
  <c r="H124" i="31"/>
  <c r="I124" i="31"/>
  <c r="O90" i="31"/>
  <c r="P90" i="31"/>
  <c r="Q90" i="31"/>
  <c r="R90" i="31"/>
  <c r="S90" i="31"/>
  <c r="P87" i="42"/>
  <c r="E614" i="31" s="1"/>
  <c r="Q87" i="42"/>
  <c r="F614" i="31" s="1"/>
  <c r="R87" i="42"/>
  <c r="G614" i="31" s="1"/>
  <c r="S87" i="42"/>
  <c r="H614" i="31" s="1"/>
  <c r="T87" i="42"/>
  <c r="I614" i="31" s="1"/>
  <c r="O87" i="42"/>
  <c r="D614" i="31" s="1"/>
  <c r="P88" i="42"/>
  <c r="E615" i="31" s="1"/>
  <c r="Q88" i="42"/>
  <c r="F615" i="31" s="1"/>
  <c r="R88" i="42"/>
  <c r="G615" i="31" s="1"/>
  <c r="S88" i="42"/>
  <c r="H615" i="31" s="1"/>
  <c r="T88" i="42"/>
  <c r="I615" i="31" s="1"/>
  <c r="O88" i="42"/>
  <c r="D615" i="31" s="1"/>
  <c r="P81" i="42"/>
  <c r="Q81" i="42"/>
  <c r="R81" i="42"/>
  <c r="S81" i="42"/>
  <c r="T81" i="42"/>
  <c r="O81" i="42"/>
  <c r="P80" i="42"/>
  <c r="P83" i="42" s="1"/>
  <c r="Q80" i="42"/>
  <c r="Q83" i="42" s="1"/>
  <c r="R80" i="42"/>
  <c r="R83" i="42" s="1"/>
  <c r="S80" i="42"/>
  <c r="S83" i="42" s="1"/>
  <c r="S84" i="42" s="1"/>
  <c r="T80" i="42"/>
  <c r="T83" i="42" s="1"/>
  <c r="T84" i="42" s="1"/>
  <c r="O80" i="42"/>
  <c r="O83" i="42" s="1"/>
  <c r="P69" i="42"/>
  <c r="P86" i="42" s="1"/>
  <c r="Q69" i="42"/>
  <c r="Q86" i="42" s="1"/>
  <c r="R69" i="42"/>
  <c r="R86" i="42" s="1"/>
  <c r="S69" i="42"/>
  <c r="S86" i="42" s="1"/>
  <c r="T69" i="42"/>
  <c r="T71" i="42" s="1"/>
  <c r="O69" i="42"/>
  <c r="O86" i="42" s="1"/>
  <c r="P66" i="42"/>
  <c r="Q66" i="42"/>
  <c r="R66" i="42"/>
  <c r="S66" i="42"/>
  <c r="T66" i="42"/>
  <c r="O66" i="42"/>
  <c r="P60" i="42"/>
  <c r="Q60" i="42"/>
  <c r="R60" i="42"/>
  <c r="S60" i="42"/>
  <c r="T60" i="42"/>
  <c r="O60" i="42"/>
  <c r="N48" i="42"/>
  <c r="P23" i="42"/>
  <c r="Q23" i="42"/>
  <c r="F106" i="31" s="1"/>
  <c r="R23" i="42"/>
  <c r="G106" i="31" s="1"/>
  <c r="S23" i="42"/>
  <c r="T23" i="42"/>
  <c r="T76" i="42" s="1"/>
  <c r="O23" i="42"/>
  <c r="D106" i="31" s="1"/>
  <c r="P6" i="42"/>
  <c r="P52" i="42" s="1"/>
  <c r="P79" i="42" s="1"/>
  <c r="Q6" i="42"/>
  <c r="Q52" i="42" s="1"/>
  <c r="Q79" i="42" s="1"/>
  <c r="R6" i="42"/>
  <c r="R52" i="42" s="1"/>
  <c r="R79" i="42" s="1"/>
  <c r="S6" i="42"/>
  <c r="S52" i="42" s="1"/>
  <c r="T6" i="42"/>
  <c r="T52" i="42" s="1"/>
  <c r="O6" i="42"/>
  <c r="O52" i="42" s="1"/>
  <c r="P5" i="42"/>
  <c r="E291" i="31" s="1"/>
  <c r="Q5" i="42"/>
  <c r="F32" i="31" s="1"/>
  <c r="R5" i="42"/>
  <c r="G291" i="31" s="1"/>
  <c r="S5" i="42"/>
  <c r="H32" i="31" s="1"/>
  <c r="T5" i="42"/>
  <c r="I32" i="31" s="1"/>
  <c r="O5" i="42"/>
  <c r="D32" i="31" s="1"/>
  <c r="S45" i="42"/>
  <c r="R45" i="42"/>
  <c r="Q45" i="42"/>
  <c r="P45" i="42"/>
  <c r="O45" i="42"/>
  <c r="N45" i="42"/>
  <c r="U8" i="42"/>
  <c r="U10" i="42"/>
  <c r="U12" i="42"/>
  <c r="U14" i="42"/>
  <c r="U16" i="42"/>
  <c r="U18" i="42"/>
  <c r="U20" i="42"/>
  <c r="U22" i="42"/>
  <c r="U24" i="42"/>
  <c r="U26" i="42"/>
  <c r="U29" i="42"/>
  <c r="U31" i="42"/>
  <c r="U33" i="42"/>
  <c r="U35" i="42"/>
  <c r="U37" i="42"/>
  <c r="U39" i="42"/>
  <c r="U41" i="42"/>
  <c r="U43" i="42"/>
  <c r="U45" i="42"/>
  <c r="U47" i="42"/>
  <c r="U49" i="42"/>
  <c r="U51" i="42"/>
  <c r="U53" i="42"/>
  <c r="U55" i="42"/>
  <c r="U57" i="42"/>
  <c r="U59" i="42"/>
  <c r="U61" i="42"/>
  <c r="U63" i="42"/>
  <c r="U65" i="42"/>
  <c r="U67" i="42"/>
  <c r="U69" i="42"/>
  <c r="U71" i="42"/>
  <c r="U73" i="42"/>
  <c r="U75" i="42"/>
  <c r="U77" i="42"/>
  <c r="U79" i="42"/>
  <c r="U81" i="42"/>
  <c r="U83" i="42"/>
  <c r="U85" i="42"/>
  <c r="U87" i="42"/>
  <c r="U89" i="42"/>
  <c r="U91" i="42"/>
  <c r="U93" i="42"/>
  <c r="U95" i="42"/>
  <c r="U97" i="42"/>
  <c r="U6" i="42"/>
  <c r="S71" i="42"/>
  <c r="O48" i="42"/>
  <c r="O62" i="20"/>
  <c r="P35" i="20"/>
  <c r="Q35" i="20"/>
  <c r="R35" i="20"/>
  <c r="S35" i="20"/>
  <c r="T35" i="20"/>
  <c r="O35" i="20"/>
  <c r="P29" i="20"/>
  <c r="Q29" i="20"/>
  <c r="R29" i="20"/>
  <c r="S29" i="20"/>
  <c r="T29" i="20"/>
  <c r="O29" i="20"/>
  <c r="S26" i="20"/>
  <c r="S28" i="20" s="1"/>
  <c r="S48" i="42"/>
  <c r="R26" i="20"/>
  <c r="R48" i="42"/>
  <c r="Q26" i="20"/>
  <c r="Q28" i="20" s="1"/>
  <c r="Q48" i="42"/>
  <c r="T26" i="20"/>
  <c r="T28" i="20" s="1"/>
  <c r="T30" i="20" s="1"/>
  <c r="T59" i="20" s="1"/>
  <c r="M544" i="31" s="1"/>
  <c r="P26" i="20"/>
  <c r="P28" i="20" s="1"/>
  <c r="P48" i="42"/>
  <c r="O26" i="20"/>
  <c r="O28" i="20" s="1"/>
  <c r="P105" i="23"/>
  <c r="Q105" i="23"/>
  <c r="R105" i="23"/>
  <c r="S105" i="23"/>
  <c r="T105" i="23"/>
  <c r="O105" i="23"/>
  <c r="P104" i="23"/>
  <c r="Q104" i="23"/>
  <c r="R104" i="23"/>
  <c r="S104" i="23"/>
  <c r="T104" i="23"/>
  <c r="O104" i="23"/>
  <c r="P101" i="23"/>
  <c r="Q101" i="23"/>
  <c r="G640" i="31" s="1"/>
  <c r="R101" i="23"/>
  <c r="H640" i="31" s="1"/>
  <c r="S101" i="23"/>
  <c r="I640" i="31" s="1"/>
  <c r="T101" i="23"/>
  <c r="J640" i="31" s="1"/>
  <c r="P102" i="23"/>
  <c r="F641" i="31" s="1"/>
  <c r="Q102" i="23"/>
  <c r="G641" i="31" s="1"/>
  <c r="R102" i="23"/>
  <c r="H641" i="31" s="1"/>
  <c r="S102" i="23"/>
  <c r="I641" i="31" s="1"/>
  <c r="T102" i="23"/>
  <c r="J641" i="31" s="1"/>
  <c r="O102" i="23"/>
  <c r="O101" i="23"/>
  <c r="E640" i="31" s="1"/>
  <c r="P100" i="23"/>
  <c r="F639" i="31" s="1"/>
  <c r="Q100" i="23"/>
  <c r="R100" i="23"/>
  <c r="H639" i="31" s="1"/>
  <c r="S100" i="23"/>
  <c r="I639" i="31" s="1"/>
  <c r="T100" i="23"/>
  <c r="J639" i="31" s="1"/>
  <c r="O100" i="23"/>
  <c r="E639" i="31" s="1"/>
  <c r="P94" i="23"/>
  <c r="Q94" i="23"/>
  <c r="R94" i="23"/>
  <c r="S94" i="23"/>
  <c r="T94" i="23"/>
  <c r="O94" i="23"/>
  <c r="P72" i="23"/>
  <c r="Q72" i="23"/>
  <c r="R72" i="23"/>
  <c r="S72" i="23"/>
  <c r="T72" i="23"/>
  <c r="O72" i="23"/>
  <c r="P46" i="23"/>
  <c r="Q46" i="23"/>
  <c r="R46" i="23"/>
  <c r="S46" i="23"/>
  <c r="S53" i="23" s="1"/>
  <c r="T46" i="23"/>
  <c r="T53" i="23" s="1"/>
  <c r="O46" i="23"/>
  <c r="P36" i="23"/>
  <c r="Q36" i="23"/>
  <c r="R36" i="23"/>
  <c r="S36" i="23"/>
  <c r="T36" i="23"/>
  <c r="O36" i="23"/>
  <c r="P37" i="23"/>
  <c r="Q37" i="23"/>
  <c r="R37" i="23"/>
  <c r="S37" i="23"/>
  <c r="T37" i="23"/>
  <c r="O37" i="23"/>
  <c r="P6" i="34"/>
  <c r="Q6" i="34"/>
  <c r="R6" i="34"/>
  <c r="S6" i="34"/>
  <c r="T6" i="34"/>
  <c r="O6" i="34"/>
  <c r="P16" i="34"/>
  <c r="Q16" i="34"/>
  <c r="R16" i="34"/>
  <c r="S16" i="34"/>
  <c r="T16" i="34"/>
  <c r="O16" i="34"/>
  <c r="P8" i="34"/>
  <c r="P17" i="42" s="1"/>
  <c r="Q8" i="34"/>
  <c r="Q17" i="42" s="1"/>
  <c r="R8" i="34"/>
  <c r="R17" i="42" s="1"/>
  <c r="S8" i="34"/>
  <c r="S17" i="42" s="1"/>
  <c r="S62" i="42" s="1"/>
  <c r="T8" i="34"/>
  <c r="T12" i="34" s="1"/>
  <c r="P58" i="23"/>
  <c r="Q58" i="23"/>
  <c r="R58" i="23"/>
  <c r="S58" i="23"/>
  <c r="T58" i="23"/>
  <c r="T98" i="23" s="1"/>
  <c r="O58" i="23"/>
  <c r="O59" i="23" s="1"/>
  <c r="O19" i="23"/>
  <c r="O26" i="23" s="1"/>
  <c r="P19" i="23"/>
  <c r="Q19" i="23"/>
  <c r="Q26" i="23" s="1"/>
  <c r="R19" i="23"/>
  <c r="R26" i="23" s="1"/>
  <c r="S19" i="23"/>
  <c r="S22" i="23" s="1"/>
  <c r="T19" i="23"/>
  <c r="T22" i="23" s="1"/>
  <c r="O10" i="23"/>
  <c r="P10" i="23"/>
  <c r="P25" i="23" s="1"/>
  <c r="Q10" i="23"/>
  <c r="R10" i="23"/>
  <c r="R25" i="23" s="1"/>
  <c r="S10" i="23"/>
  <c r="S13" i="23" s="1"/>
  <c r="T10" i="23"/>
  <c r="T13" i="23" s="1"/>
  <c r="P39" i="34"/>
  <c r="J594" i="31" s="1"/>
  <c r="Q39" i="34"/>
  <c r="K594" i="31" s="1"/>
  <c r="R39" i="34"/>
  <c r="S39" i="34"/>
  <c r="T39" i="34"/>
  <c r="P40" i="34"/>
  <c r="J604" i="31" s="1"/>
  <c r="Q40" i="34"/>
  <c r="K604" i="31" s="1"/>
  <c r="R40" i="34"/>
  <c r="M17" i="26" s="1"/>
  <c r="S40" i="34"/>
  <c r="T40" i="34"/>
  <c r="O40" i="34"/>
  <c r="O39" i="34"/>
  <c r="I594" i="31" s="1"/>
  <c r="P34" i="34"/>
  <c r="Q34" i="34"/>
  <c r="R34" i="34"/>
  <c r="S34" i="34"/>
  <c r="S35" i="34" s="1"/>
  <c r="T34" i="34"/>
  <c r="T35" i="34" s="1"/>
  <c r="O34" i="34"/>
  <c r="O8" i="34"/>
  <c r="O17" i="42" s="1"/>
  <c r="O5" i="20"/>
  <c r="S12" i="42"/>
  <c r="H95" i="31" s="1"/>
  <c r="S32" i="34"/>
  <c r="S31" i="34" s="1"/>
  <c r="S35" i="23"/>
  <c r="S47" i="23" s="1"/>
  <c r="R12" i="42"/>
  <c r="R29" i="42" s="1"/>
  <c r="R35" i="23"/>
  <c r="R32" i="34"/>
  <c r="T21" i="42"/>
  <c r="I104" i="31" s="1"/>
  <c r="S21" i="42"/>
  <c r="H104" i="31" s="1"/>
  <c r="T12" i="42"/>
  <c r="I95" i="31" s="1"/>
  <c r="T35" i="23"/>
  <c r="T47" i="23" s="1"/>
  <c r="T32" i="34"/>
  <c r="T31" i="34" s="1"/>
  <c r="R21" i="42"/>
  <c r="G104" i="31" s="1"/>
  <c r="R10" i="20"/>
  <c r="R18" i="20" s="1"/>
  <c r="T10" i="20"/>
  <c r="T18" i="20" s="1"/>
  <c r="S10" i="20"/>
  <c r="S18" i="20" s="1"/>
  <c r="T61" i="23"/>
  <c r="T22" i="34"/>
  <c r="S61" i="23"/>
  <c r="S22" i="34"/>
  <c r="N21" i="42"/>
  <c r="O10" i="20"/>
  <c r="O18" i="20" s="1"/>
  <c r="N5" i="20"/>
  <c r="P12" i="42"/>
  <c r="P20" i="42" s="1"/>
  <c r="P35" i="23"/>
  <c r="P47" i="23" s="1"/>
  <c r="P32" i="34"/>
  <c r="P21" i="42"/>
  <c r="E104" i="31" s="1"/>
  <c r="O12" i="42"/>
  <c r="D95" i="31" s="1"/>
  <c r="O35" i="23"/>
  <c r="O32" i="34"/>
  <c r="O21" i="42"/>
  <c r="D104" i="31" s="1"/>
  <c r="Q12" i="42"/>
  <c r="Q29" i="42" s="1"/>
  <c r="Q35" i="23"/>
  <c r="Q32" i="34"/>
  <c r="Q21" i="42"/>
  <c r="F104" i="31" s="1"/>
  <c r="Q10" i="20"/>
  <c r="Q18" i="20" s="1"/>
  <c r="N12" i="42"/>
  <c r="N20" i="42" s="1"/>
  <c r="R61" i="23"/>
  <c r="R22" i="34"/>
  <c r="P61" i="23"/>
  <c r="P22" i="34"/>
  <c r="Q61" i="23"/>
  <c r="Q22" i="34"/>
  <c r="P10" i="20"/>
  <c r="P18" i="20" s="1"/>
  <c r="O22" i="34"/>
  <c r="O61" i="23"/>
  <c r="M252" i="31"/>
  <c r="M220" i="31"/>
  <c r="I63" i="31"/>
  <c r="M32" i="31"/>
  <c r="M33" i="31"/>
  <c r="B6" i="43"/>
  <c r="A1" i="26"/>
  <c r="M122" i="31"/>
  <c r="M8" i="44"/>
  <c r="M9" i="44"/>
  <c r="M11" i="44"/>
  <c r="M12" i="44"/>
  <c r="M13" i="44"/>
  <c r="M14" i="44"/>
  <c r="M15" i="44"/>
  <c r="M16" i="44"/>
  <c r="M17" i="44"/>
  <c r="M18" i="44"/>
  <c r="M19" i="44"/>
  <c r="M20" i="44"/>
  <c r="M21" i="44"/>
  <c r="Q51" i="26"/>
  <c r="O51" i="26"/>
  <c r="T48" i="20"/>
  <c r="O592" i="31"/>
  <c r="O593" i="31"/>
  <c r="M665" i="31"/>
  <c r="E664" i="31"/>
  <c r="F664" i="31"/>
  <c r="G664" i="31"/>
  <c r="H664" i="31"/>
  <c r="I664" i="31"/>
  <c r="J664" i="31"/>
  <c r="K664" i="31"/>
  <c r="L664" i="31"/>
  <c r="D664" i="31"/>
  <c r="E663" i="31"/>
  <c r="F663" i="31"/>
  <c r="G663" i="31"/>
  <c r="H663" i="31"/>
  <c r="I663" i="31"/>
  <c r="J663" i="31"/>
  <c r="K663" i="31"/>
  <c r="L663" i="31"/>
  <c r="M662" i="31"/>
  <c r="O664" i="31"/>
  <c r="J507" i="31"/>
  <c r="K507" i="31"/>
  <c r="L507" i="31"/>
  <c r="J508" i="31"/>
  <c r="K508" i="31"/>
  <c r="L508" i="31"/>
  <c r="M505" i="31"/>
  <c r="E506" i="31"/>
  <c r="F506" i="31"/>
  <c r="G506" i="31"/>
  <c r="H506" i="31"/>
  <c r="I506" i="31"/>
  <c r="J506" i="31"/>
  <c r="K506" i="31"/>
  <c r="L506" i="31"/>
  <c r="M533" i="31"/>
  <c r="M649" i="31"/>
  <c r="M637" i="31"/>
  <c r="M624" i="31"/>
  <c r="M611" i="31"/>
  <c r="M652" i="31"/>
  <c r="M653" i="31"/>
  <c r="M651" i="31"/>
  <c r="M654" i="31"/>
  <c r="E650" i="31"/>
  <c r="F650" i="31"/>
  <c r="G650" i="31"/>
  <c r="H650" i="31"/>
  <c r="I650" i="31"/>
  <c r="J650" i="31"/>
  <c r="K650" i="31"/>
  <c r="L650" i="31"/>
  <c r="E625" i="31"/>
  <c r="F625" i="31"/>
  <c r="G625" i="31"/>
  <c r="H625" i="31"/>
  <c r="I625" i="31"/>
  <c r="J625" i="31"/>
  <c r="K625" i="31"/>
  <c r="L625" i="31"/>
  <c r="K639" i="31"/>
  <c r="L639" i="31"/>
  <c r="K640" i="31"/>
  <c r="L640" i="31"/>
  <c r="K641" i="31"/>
  <c r="L641" i="31"/>
  <c r="K642" i="31"/>
  <c r="L642" i="31"/>
  <c r="D640" i="31"/>
  <c r="D641" i="31"/>
  <c r="D639" i="31"/>
  <c r="J613" i="31"/>
  <c r="K613" i="31"/>
  <c r="L613" i="31"/>
  <c r="J614" i="31"/>
  <c r="K614" i="31"/>
  <c r="L614" i="31"/>
  <c r="J615" i="31"/>
  <c r="K615" i="31"/>
  <c r="L615" i="31"/>
  <c r="J616" i="31"/>
  <c r="K616" i="31"/>
  <c r="L616" i="31"/>
  <c r="E638" i="31"/>
  <c r="F638" i="31"/>
  <c r="G638" i="31"/>
  <c r="H638" i="31"/>
  <c r="I638" i="31"/>
  <c r="J638" i="31"/>
  <c r="K638" i="31"/>
  <c r="L638" i="31"/>
  <c r="L628" i="31"/>
  <c r="K626" i="31"/>
  <c r="K652" i="31"/>
  <c r="J628" i="31"/>
  <c r="L627" i="31"/>
  <c r="L626" i="31"/>
  <c r="L653" i="31"/>
  <c r="L652" i="31"/>
  <c r="L651" i="31"/>
  <c r="J627" i="31"/>
  <c r="K628" i="31"/>
  <c r="K627" i="31"/>
  <c r="K653" i="31"/>
  <c r="K651" i="31"/>
  <c r="J626" i="31"/>
  <c r="E534" i="31"/>
  <c r="F534" i="31"/>
  <c r="G534" i="31"/>
  <c r="H534" i="31"/>
  <c r="I534" i="31"/>
  <c r="J534" i="31"/>
  <c r="K534" i="31"/>
  <c r="L534" i="31"/>
  <c r="M145" i="43"/>
  <c r="L145" i="43"/>
  <c r="K145" i="43"/>
  <c r="J145" i="43"/>
  <c r="M142" i="43"/>
  <c r="L142" i="43"/>
  <c r="K142" i="43"/>
  <c r="J142" i="43"/>
  <c r="I142" i="43"/>
  <c r="Q77" i="43"/>
  <c r="P77" i="43"/>
  <c r="O77" i="43"/>
  <c r="N77" i="43"/>
  <c r="M77" i="43"/>
  <c r="L77" i="43"/>
  <c r="K77" i="43"/>
  <c r="J77" i="43"/>
  <c r="I77" i="43"/>
  <c r="Q76" i="43"/>
  <c r="P76" i="43"/>
  <c r="O76" i="43"/>
  <c r="N76" i="43"/>
  <c r="M76" i="43"/>
  <c r="L76" i="43"/>
  <c r="K76" i="43"/>
  <c r="J76" i="43"/>
  <c r="I76" i="43"/>
  <c r="J75" i="43"/>
  <c r="K75" i="43"/>
  <c r="L75" i="43"/>
  <c r="M75" i="43"/>
  <c r="N75" i="43"/>
  <c r="O75" i="43"/>
  <c r="P75" i="43"/>
  <c r="Q75" i="43"/>
  <c r="R74" i="43"/>
  <c r="Q70" i="43"/>
  <c r="P70" i="43"/>
  <c r="O70" i="43"/>
  <c r="N70" i="43"/>
  <c r="M70" i="43"/>
  <c r="L70" i="43"/>
  <c r="K70" i="43"/>
  <c r="J70" i="43"/>
  <c r="I70" i="43"/>
  <c r="Q69" i="43"/>
  <c r="P69" i="43"/>
  <c r="O69" i="43"/>
  <c r="N69" i="43"/>
  <c r="M69" i="43"/>
  <c r="L69" i="43"/>
  <c r="K69" i="43"/>
  <c r="J69" i="43"/>
  <c r="I69" i="43"/>
  <c r="J68" i="43"/>
  <c r="K68" i="43"/>
  <c r="L68" i="43"/>
  <c r="M68" i="43"/>
  <c r="N68" i="43"/>
  <c r="O68" i="43"/>
  <c r="P68" i="43"/>
  <c r="Q68" i="43"/>
  <c r="R67" i="43"/>
  <c r="Q63" i="43"/>
  <c r="P63" i="43"/>
  <c r="O63" i="43"/>
  <c r="N63" i="43"/>
  <c r="M63" i="43"/>
  <c r="L63" i="43"/>
  <c r="K63" i="43"/>
  <c r="J63" i="43"/>
  <c r="I63" i="43"/>
  <c r="Q62" i="43"/>
  <c r="P62" i="43"/>
  <c r="O62" i="43"/>
  <c r="N62" i="43"/>
  <c r="M62" i="43"/>
  <c r="L62" i="43"/>
  <c r="K62" i="43"/>
  <c r="J62" i="43"/>
  <c r="I62" i="43"/>
  <c r="J61" i="43"/>
  <c r="K61" i="43"/>
  <c r="L61" i="43"/>
  <c r="M61" i="43"/>
  <c r="N61" i="43"/>
  <c r="O61" i="43"/>
  <c r="P61" i="43"/>
  <c r="Q61" i="43"/>
  <c r="R60" i="43"/>
  <c r="Q56" i="43"/>
  <c r="P56" i="43"/>
  <c r="O56" i="43"/>
  <c r="N56" i="43"/>
  <c r="M56" i="43"/>
  <c r="L56" i="43"/>
  <c r="K56" i="43"/>
  <c r="J56" i="43"/>
  <c r="I56" i="43"/>
  <c r="Q55" i="43"/>
  <c r="P55" i="43"/>
  <c r="O55" i="43"/>
  <c r="N55" i="43"/>
  <c r="M55" i="43"/>
  <c r="L55" i="43"/>
  <c r="K55" i="43"/>
  <c r="J55" i="43"/>
  <c r="I55" i="43"/>
  <c r="J54" i="43"/>
  <c r="K54" i="43"/>
  <c r="L54" i="43"/>
  <c r="M54" i="43"/>
  <c r="N54" i="43"/>
  <c r="O54" i="43"/>
  <c r="P54" i="43"/>
  <c r="Q54" i="43"/>
  <c r="R53" i="43"/>
  <c r="Q49" i="43"/>
  <c r="P49" i="43"/>
  <c r="O49" i="43"/>
  <c r="N49" i="43"/>
  <c r="M49" i="43"/>
  <c r="L49" i="43"/>
  <c r="K49" i="43"/>
  <c r="J49" i="43"/>
  <c r="I49" i="43"/>
  <c r="Q48" i="43"/>
  <c r="P48" i="43"/>
  <c r="O48" i="43"/>
  <c r="N48" i="43"/>
  <c r="M48" i="43"/>
  <c r="L48" i="43"/>
  <c r="K48" i="43"/>
  <c r="J48" i="43"/>
  <c r="I48" i="43"/>
  <c r="J47" i="43"/>
  <c r="K47" i="43"/>
  <c r="L47" i="43"/>
  <c r="M47" i="43"/>
  <c r="N47" i="43"/>
  <c r="O47" i="43"/>
  <c r="P47" i="43"/>
  <c r="Q47" i="43"/>
  <c r="R46" i="43"/>
  <c r="R69" i="43"/>
  <c r="Q42" i="43"/>
  <c r="P42" i="43"/>
  <c r="O42" i="43"/>
  <c r="N42" i="43"/>
  <c r="M42" i="43"/>
  <c r="L42" i="43"/>
  <c r="K42" i="43"/>
  <c r="J42" i="43"/>
  <c r="I42" i="43"/>
  <c r="Q41" i="43"/>
  <c r="P41" i="43"/>
  <c r="O41" i="43"/>
  <c r="N41" i="43"/>
  <c r="M41" i="43"/>
  <c r="L41" i="43"/>
  <c r="K41" i="43"/>
  <c r="J41" i="43"/>
  <c r="I41" i="43"/>
  <c r="J40" i="43"/>
  <c r="K40" i="43"/>
  <c r="L40" i="43"/>
  <c r="M40" i="43"/>
  <c r="N40" i="43"/>
  <c r="O40" i="43"/>
  <c r="P40" i="43"/>
  <c r="Q40" i="43"/>
  <c r="R39" i="43"/>
  <c r="Q35" i="43"/>
  <c r="P35" i="43"/>
  <c r="O35" i="43"/>
  <c r="N35" i="43"/>
  <c r="M35" i="43"/>
  <c r="L35" i="43"/>
  <c r="K35" i="43"/>
  <c r="J35" i="43"/>
  <c r="I35" i="43"/>
  <c r="Q34" i="43"/>
  <c r="P34" i="43"/>
  <c r="O34" i="43"/>
  <c r="N34" i="43"/>
  <c r="M34" i="43"/>
  <c r="L34" i="43"/>
  <c r="K34" i="43"/>
  <c r="J34" i="43"/>
  <c r="I34" i="43"/>
  <c r="J33" i="43"/>
  <c r="K33" i="43"/>
  <c r="L33" i="43"/>
  <c r="M33" i="43"/>
  <c r="N33" i="43"/>
  <c r="O33" i="43"/>
  <c r="P33" i="43"/>
  <c r="Q33" i="43"/>
  <c r="R32" i="43"/>
  <c r="Q28" i="43"/>
  <c r="P28" i="43"/>
  <c r="O28" i="43"/>
  <c r="N28" i="43"/>
  <c r="M28" i="43"/>
  <c r="L28" i="43"/>
  <c r="K28" i="43"/>
  <c r="J28" i="43"/>
  <c r="I28" i="43"/>
  <c r="Q27" i="43"/>
  <c r="P27" i="43"/>
  <c r="O27" i="43"/>
  <c r="N27" i="43"/>
  <c r="M27" i="43"/>
  <c r="L27" i="43"/>
  <c r="K27" i="43"/>
  <c r="J27" i="43"/>
  <c r="I27" i="43"/>
  <c r="J26" i="43"/>
  <c r="K26" i="43"/>
  <c r="L26" i="43"/>
  <c r="M26" i="43"/>
  <c r="N26" i="43"/>
  <c r="O26" i="43"/>
  <c r="P26" i="43"/>
  <c r="Q26" i="43"/>
  <c r="R25" i="43"/>
  <c r="N21" i="43"/>
  <c r="M21" i="43"/>
  <c r="L21" i="43"/>
  <c r="K21" i="43"/>
  <c r="J21" i="43"/>
  <c r="I21" i="43"/>
  <c r="N20" i="43"/>
  <c r="M20" i="43"/>
  <c r="L20" i="43"/>
  <c r="K20" i="43"/>
  <c r="J20" i="43"/>
  <c r="I20" i="43"/>
  <c r="J19" i="43"/>
  <c r="K19" i="43"/>
  <c r="L19" i="43"/>
  <c r="M19" i="43"/>
  <c r="N19" i="43"/>
  <c r="R18" i="43"/>
  <c r="J603" i="31"/>
  <c r="K603" i="31"/>
  <c r="L603" i="31"/>
  <c r="E593" i="31"/>
  <c r="F593" i="31"/>
  <c r="G593" i="31"/>
  <c r="H593" i="31"/>
  <c r="I593" i="31"/>
  <c r="J593" i="31"/>
  <c r="K593" i="31"/>
  <c r="L593" i="31"/>
  <c r="D593" i="31"/>
  <c r="M573" i="31"/>
  <c r="J583" i="31"/>
  <c r="K583" i="31"/>
  <c r="L583" i="31"/>
  <c r="J573" i="31"/>
  <c r="K573" i="31"/>
  <c r="L573" i="31"/>
  <c r="J563" i="31"/>
  <c r="K563" i="31"/>
  <c r="L563" i="31"/>
  <c r="E553" i="31"/>
  <c r="F553" i="31"/>
  <c r="G553" i="31"/>
  <c r="J553" i="31"/>
  <c r="K553" i="31"/>
  <c r="L553" i="31"/>
  <c r="D553" i="31"/>
  <c r="R718" i="31"/>
  <c r="M601" i="31"/>
  <c r="M591" i="31"/>
  <c r="M581" i="31"/>
  <c r="M571" i="31"/>
  <c r="M561" i="31"/>
  <c r="M551" i="31"/>
  <c r="M541" i="31"/>
  <c r="O543" i="31"/>
  <c r="J543" i="31"/>
  <c r="K543" i="31"/>
  <c r="L543" i="31"/>
  <c r="L629" i="31"/>
  <c r="K654" i="31"/>
  <c r="J629" i="31"/>
  <c r="K629" i="31"/>
  <c r="L654" i="31"/>
  <c r="Q721" i="31"/>
  <c r="P721" i="31"/>
  <c r="O721" i="31"/>
  <c r="N721" i="31"/>
  <c r="M721" i="31"/>
  <c r="L721" i="31"/>
  <c r="K721" i="31"/>
  <c r="J721" i="31"/>
  <c r="I721" i="31"/>
  <c r="Q720" i="31"/>
  <c r="P720" i="31"/>
  <c r="O720" i="31"/>
  <c r="N720" i="31"/>
  <c r="M720" i="31"/>
  <c r="L720" i="31"/>
  <c r="K720" i="31"/>
  <c r="J720" i="31"/>
  <c r="I720" i="31"/>
  <c r="J719" i="31"/>
  <c r="K719" i="31"/>
  <c r="L719" i="31"/>
  <c r="M719" i="31"/>
  <c r="N719" i="31"/>
  <c r="O719" i="31"/>
  <c r="P719" i="31"/>
  <c r="Q719" i="31"/>
  <c r="M616" i="31"/>
  <c r="E612" i="31"/>
  <c r="F612" i="31"/>
  <c r="G612" i="31"/>
  <c r="H612" i="31"/>
  <c r="I612" i="31"/>
  <c r="J612" i="31"/>
  <c r="K612" i="31"/>
  <c r="L612" i="31"/>
  <c r="R34" i="43"/>
  <c r="E602" i="31"/>
  <c r="F602" i="31"/>
  <c r="G602" i="31"/>
  <c r="H602" i="31"/>
  <c r="I602" i="31"/>
  <c r="J602" i="31"/>
  <c r="K602" i="31"/>
  <c r="L602" i="31"/>
  <c r="M626" i="31"/>
  <c r="M629" i="31"/>
  <c r="M664" i="31"/>
  <c r="M627" i="31"/>
  <c r="M628" i="31"/>
  <c r="E592" i="31"/>
  <c r="F592" i="31"/>
  <c r="G592" i="31"/>
  <c r="H592" i="31"/>
  <c r="I592" i="31"/>
  <c r="J592" i="31"/>
  <c r="K592" i="31"/>
  <c r="L592" i="31"/>
  <c r="E582" i="31"/>
  <c r="F582" i="31"/>
  <c r="G582" i="31"/>
  <c r="H582" i="31"/>
  <c r="I582" i="31"/>
  <c r="J582" i="31"/>
  <c r="K582" i="31"/>
  <c r="L582" i="31"/>
  <c r="E572" i="31"/>
  <c r="F572" i="31"/>
  <c r="G572" i="31"/>
  <c r="H572" i="31"/>
  <c r="I572" i="31"/>
  <c r="J572" i="31"/>
  <c r="K572" i="31"/>
  <c r="L572" i="31"/>
  <c r="M563" i="31"/>
  <c r="M603" i="31"/>
  <c r="E562" i="31"/>
  <c r="F562" i="31"/>
  <c r="G562" i="31"/>
  <c r="H562" i="31"/>
  <c r="I562" i="31"/>
  <c r="J562" i="31"/>
  <c r="K562" i="31"/>
  <c r="L562" i="31"/>
  <c r="M553" i="31"/>
  <c r="E552" i="31"/>
  <c r="F552" i="31"/>
  <c r="G552" i="31"/>
  <c r="H552" i="31"/>
  <c r="I552" i="31"/>
  <c r="J552" i="31"/>
  <c r="K552" i="31"/>
  <c r="L552" i="31"/>
  <c r="M543" i="31"/>
  <c r="E542" i="31"/>
  <c r="F542" i="31"/>
  <c r="G542" i="31"/>
  <c r="H542" i="31"/>
  <c r="I542" i="31"/>
  <c r="J542" i="31"/>
  <c r="K542" i="31"/>
  <c r="L542" i="31"/>
  <c r="J432" i="31"/>
  <c r="K432" i="31"/>
  <c r="L432" i="31"/>
  <c r="J433" i="31"/>
  <c r="K433" i="31"/>
  <c r="L433" i="31"/>
  <c r="J434" i="31"/>
  <c r="K434" i="31"/>
  <c r="L434" i="31"/>
  <c r="N471" i="31"/>
  <c r="G471" i="31"/>
  <c r="G312" i="31"/>
  <c r="M288" i="31"/>
  <c r="M179" i="31"/>
  <c r="G473" i="31"/>
  <c r="L564" i="31"/>
  <c r="D642" i="31"/>
  <c r="D653" i="31"/>
  <c r="M258" i="31"/>
  <c r="D652" i="31"/>
  <c r="D651" i="31"/>
  <c r="N474" i="31"/>
  <c r="M536" i="31"/>
  <c r="D256" i="31"/>
  <c r="F479" i="31"/>
  <c r="E479" i="31"/>
  <c r="K403" i="31"/>
  <c r="D654" i="31"/>
  <c r="E317" i="31"/>
  <c r="F317" i="31"/>
  <c r="G317" i="31"/>
  <c r="H317" i="31"/>
  <c r="I317" i="31"/>
  <c r="J317" i="31"/>
  <c r="K317" i="31"/>
  <c r="L317" i="31"/>
  <c r="D317" i="31"/>
  <c r="E316" i="31"/>
  <c r="F316" i="31"/>
  <c r="G316" i="31"/>
  <c r="H316" i="31"/>
  <c r="I316" i="31"/>
  <c r="J316" i="31"/>
  <c r="K316" i="31"/>
  <c r="L316" i="31"/>
  <c r="D316" i="31"/>
  <c r="L291" i="31"/>
  <c r="J291" i="31"/>
  <c r="K291" i="31"/>
  <c r="D291" i="31"/>
  <c r="J290" i="31"/>
  <c r="K290" i="31"/>
  <c r="L290" i="31"/>
  <c r="J253" i="31"/>
  <c r="K253" i="31"/>
  <c r="L253" i="31"/>
  <c r="J252" i="31"/>
  <c r="K252" i="31"/>
  <c r="L252" i="31"/>
  <c r="J220" i="31"/>
  <c r="K220" i="31"/>
  <c r="L220" i="31"/>
  <c r="H179" i="31"/>
  <c r="H178" i="31"/>
  <c r="F63" i="31"/>
  <c r="G63" i="31"/>
  <c r="H63" i="31"/>
  <c r="E33" i="31"/>
  <c r="F33" i="31"/>
  <c r="G33" i="31"/>
  <c r="H33" i="31"/>
  <c r="I33" i="31"/>
  <c r="J33" i="31"/>
  <c r="K33" i="31"/>
  <c r="L33" i="31"/>
  <c r="D33" i="31"/>
  <c r="J32" i="31"/>
  <c r="K32" i="31"/>
  <c r="L32" i="31"/>
  <c r="M349" i="31"/>
  <c r="U6" i="33"/>
  <c r="C352" i="31"/>
  <c r="C343" i="31"/>
  <c r="N479" i="31"/>
  <c r="M259" i="31"/>
  <c r="M263" i="31"/>
  <c r="N475" i="31"/>
  <c r="M316" i="31"/>
  <c r="E388" i="31"/>
  <c r="F388" i="31"/>
  <c r="G388" i="31"/>
  <c r="H388" i="31"/>
  <c r="I388" i="31"/>
  <c r="J388" i="31"/>
  <c r="K388" i="31"/>
  <c r="L388" i="31"/>
  <c r="D388" i="31"/>
  <c r="D383" i="31"/>
  <c r="D387" i="31"/>
  <c r="D343" i="31"/>
  <c r="E343" i="31"/>
  <c r="F343" i="31"/>
  <c r="G343" i="31"/>
  <c r="H343" i="31"/>
  <c r="I343" i="31"/>
  <c r="J343" i="31"/>
  <c r="K343" i="31"/>
  <c r="L343" i="31"/>
  <c r="B312" i="31"/>
  <c r="B311" i="31"/>
  <c r="B295" i="31"/>
  <c r="B285" i="31"/>
  <c r="B284" i="31"/>
  <c r="B268" i="31"/>
  <c r="H158" i="31"/>
  <c r="B158" i="31"/>
  <c r="B37" i="31"/>
  <c r="B7" i="31"/>
  <c r="B6" i="31"/>
  <c r="B25" i="31"/>
  <c r="B297" i="31"/>
  <c r="B296" i="31"/>
  <c r="B247" i="31"/>
  <c r="B246" i="31"/>
  <c r="B229" i="31"/>
  <c r="B228" i="31"/>
  <c r="H159" i="31"/>
  <c r="B17" i="27"/>
  <c r="B18" i="27"/>
  <c r="B19" i="27"/>
  <c r="B20" i="27"/>
  <c r="B21" i="27"/>
  <c r="B22" i="27"/>
  <c r="B23" i="27"/>
  <c r="B24" i="27"/>
  <c r="B25" i="27"/>
  <c r="B26" i="27"/>
  <c r="B27" i="27"/>
  <c r="B28" i="27"/>
  <c r="B29" i="27"/>
  <c r="B30" i="27"/>
  <c r="B31" i="27"/>
  <c r="B32" i="27"/>
  <c r="B33" i="27"/>
  <c r="B34" i="27"/>
  <c r="H17" i="28"/>
  <c r="F17" i="28"/>
  <c r="H15" i="28"/>
  <c r="D15" i="28"/>
  <c r="D8" i="28"/>
  <c r="O40" i="25"/>
  <c r="N40" i="25"/>
  <c r="M40" i="25"/>
  <c r="L40" i="25"/>
  <c r="K40" i="25"/>
  <c r="J40" i="25"/>
  <c r="I40" i="25"/>
  <c r="H40" i="25"/>
  <c r="G40" i="25"/>
  <c r="F40" i="25"/>
  <c r="O39" i="25"/>
  <c r="N39" i="25"/>
  <c r="M39" i="25"/>
  <c r="L39" i="25"/>
  <c r="K39" i="25"/>
  <c r="J39" i="25"/>
  <c r="I39" i="25"/>
  <c r="H39" i="25"/>
  <c r="G39" i="25"/>
  <c r="F39" i="25"/>
  <c r="O38" i="25"/>
  <c r="N38" i="25"/>
  <c r="M38" i="25"/>
  <c r="L38" i="25"/>
  <c r="K38" i="25"/>
  <c r="K44" i="25"/>
  <c r="J38" i="25"/>
  <c r="J44" i="25"/>
  <c r="I38" i="25"/>
  <c r="I44" i="25"/>
  <c r="H38" i="25"/>
  <c r="H44" i="25"/>
  <c r="G38" i="25"/>
  <c r="G44" i="25"/>
  <c r="F38" i="25"/>
  <c r="F44" i="25"/>
  <c r="O37" i="25"/>
  <c r="O43" i="25"/>
  <c r="N37" i="25"/>
  <c r="N43" i="25"/>
  <c r="M37" i="25"/>
  <c r="M43" i="25"/>
  <c r="L37" i="25"/>
  <c r="L43" i="25"/>
  <c r="K37" i="25"/>
  <c r="K43" i="25"/>
  <c r="J37" i="25"/>
  <c r="J43" i="25"/>
  <c r="I37" i="25"/>
  <c r="I43" i="25"/>
  <c r="H37" i="25"/>
  <c r="H43" i="25"/>
  <c r="G37" i="25"/>
  <c r="G43" i="25"/>
  <c r="F37" i="25"/>
  <c r="F43" i="25"/>
  <c r="O36" i="25"/>
  <c r="O42" i="25"/>
  <c r="N36" i="25"/>
  <c r="N42" i="25"/>
  <c r="M36" i="25"/>
  <c r="M42" i="25"/>
  <c r="L36" i="25"/>
  <c r="L42" i="25"/>
  <c r="K36" i="25"/>
  <c r="K42" i="25"/>
  <c r="J36" i="25"/>
  <c r="J42" i="25"/>
  <c r="I36" i="25"/>
  <c r="I42" i="25"/>
  <c r="H36" i="25"/>
  <c r="H42" i="25"/>
  <c r="G36" i="25"/>
  <c r="G42" i="25"/>
  <c r="F36" i="25"/>
  <c r="F42" i="25"/>
  <c r="K31" i="25"/>
  <c r="K32" i="25"/>
  <c r="J31" i="25"/>
  <c r="J32" i="25"/>
  <c r="I31" i="25"/>
  <c r="I32" i="25"/>
  <c r="H31" i="25"/>
  <c r="H32" i="25"/>
  <c r="G31" i="25"/>
  <c r="G32" i="25"/>
  <c r="F31" i="25"/>
  <c r="F32" i="25"/>
  <c r="O30" i="25"/>
  <c r="O31" i="25"/>
  <c r="O32" i="25"/>
  <c r="N30" i="25"/>
  <c r="N31" i="25"/>
  <c r="N32" i="25"/>
  <c r="M30" i="25"/>
  <c r="M31" i="25"/>
  <c r="M32" i="25"/>
  <c r="M46" i="25"/>
  <c r="L30" i="25"/>
  <c r="L31" i="25"/>
  <c r="L32" i="25"/>
  <c r="G26" i="25"/>
  <c r="H26" i="25"/>
  <c r="I26" i="25"/>
  <c r="J26" i="25"/>
  <c r="K26" i="25"/>
  <c r="L26" i="25"/>
  <c r="M26" i="25"/>
  <c r="N26" i="25"/>
  <c r="O26" i="25"/>
  <c r="P17" i="25"/>
  <c r="O17" i="25"/>
  <c r="N17" i="25"/>
  <c r="M17" i="25"/>
  <c r="L17" i="25"/>
  <c r="K17" i="25"/>
  <c r="J17" i="25"/>
  <c r="I17" i="25"/>
  <c r="H17" i="25"/>
  <c r="G17" i="25"/>
  <c r="F17" i="25"/>
  <c r="P16" i="25"/>
  <c r="O16" i="25"/>
  <c r="N16" i="25"/>
  <c r="M16" i="25"/>
  <c r="L16" i="25"/>
  <c r="K16" i="25"/>
  <c r="J16" i="25"/>
  <c r="I16" i="25"/>
  <c r="H16" i="25"/>
  <c r="G16" i="25"/>
  <c r="F16" i="25"/>
  <c r="P15" i="25"/>
  <c r="O15" i="25"/>
  <c r="N15" i="25"/>
  <c r="N21" i="25"/>
  <c r="M15" i="25"/>
  <c r="M21" i="25"/>
  <c r="L15" i="25"/>
  <c r="K15" i="25"/>
  <c r="J15" i="25"/>
  <c r="I15" i="25"/>
  <c r="H15" i="25"/>
  <c r="G15" i="25"/>
  <c r="G21" i="25"/>
  <c r="F15" i="25"/>
  <c r="P14" i="25"/>
  <c r="P20" i="25"/>
  <c r="O14" i="25"/>
  <c r="O20" i="25"/>
  <c r="N14" i="25"/>
  <c r="N20" i="25"/>
  <c r="M14" i="25"/>
  <c r="M20" i="25"/>
  <c r="L14" i="25"/>
  <c r="L20" i="25"/>
  <c r="K14" i="25"/>
  <c r="K20" i="25"/>
  <c r="J14" i="25"/>
  <c r="J20" i="25"/>
  <c r="I14" i="25"/>
  <c r="I20" i="25"/>
  <c r="H14" i="25"/>
  <c r="H20" i="25"/>
  <c r="G14" i="25"/>
  <c r="G20" i="25"/>
  <c r="F14" i="25"/>
  <c r="F20" i="25"/>
  <c r="P13" i="25"/>
  <c r="P19" i="25"/>
  <c r="O13" i="25"/>
  <c r="O19" i="25"/>
  <c r="N13" i="25"/>
  <c r="N19" i="25"/>
  <c r="M13" i="25"/>
  <c r="M19" i="25"/>
  <c r="L13" i="25"/>
  <c r="L19" i="25"/>
  <c r="K13" i="25"/>
  <c r="K19" i="25"/>
  <c r="J13" i="25"/>
  <c r="J19" i="25"/>
  <c r="I13" i="25"/>
  <c r="I19" i="25"/>
  <c r="H13" i="25"/>
  <c r="H19" i="25"/>
  <c r="G13" i="25"/>
  <c r="G19" i="25"/>
  <c r="F13" i="25"/>
  <c r="F19" i="25"/>
  <c r="N8" i="25"/>
  <c r="N9" i="25"/>
  <c r="M8" i="25"/>
  <c r="M9" i="25"/>
  <c r="G8" i="25"/>
  <c r="G9" i="25"/>
  <c r="P7" i="25"/>
  <c r="P8" i="25"/>
  <c r="P9" i="25"/>
  <c r="O7" i="25"/>
  <c r="O8" i="25"/>
  <c r="O9" i="25"/>
  <c r="L7" i="25"/>
  <c r="L8" i="25"/>
  <c r="L9" i="25"/>
  <c r="K7" i="25"/>
  <c r="K8" i="25"/>
  <c r="K9" i="25"/>
  <c r="J7" i="25"/>
  <c r="J8" i="25"/>
  <c r="J9" i="25"/>
  <c r="J23" i="25"/>
  <c r="I7" i="25"/>
  <c r="I8" i="25"/>
  <c r="H7" i="25"/>
  <c r="H8" i="25"/>
  <c r="H9" i="25"/>
  <c r="F7" i="25"/>
  <c r="F8" i="25"/>
  <c r="F9" i="25"/>
  <c r="R5" i="25"/>
  <c r="H4" i="25"/>
  <c r="I4" i="25"/>
  <c r="J4" i="25"/>
  <c r="K4" i="25"/>
  <c r="L4" i="25"/>
  <c r="M4" i="25"/>
  <c r="N4" i="25"/>
  <c r="O4" i="25"/>
  <c r="P4" i="25"/>
  <c r="Q4" i="25"/>
  <c r="H3" i="25"/>
  <c r="I3" i="25"/>
  <c r="J3" i="25"/>
  <c r="K3" i="25"/>
  <c r="L3" i="25"/>
  <c r="M3" i="25"/>
  <c r="N3" i="25"/>
  <c r="O3" i="25"/>
  <c r="P3" i="25"/>
  <c r="Q3" i="25"/>
  <c r="P2" i="25"/>
  <c r="A2" i="25"/>
  <c r="O54" i="24"/>
  <c r="O56" i="24"/>
  <c r="N54" i="24"/>
  <c r="N56" i="24"/>
  <c r="M54" i="24"/>
  <c r="M56" i="24"/>
  <c r="L54" i="24"/>
  <c r="L56" i="24"/>
  <c r="K54" i="24"/>
  <c r="K56" i="24"/>
  <c r="J54" i="24"/>
  <c r="J56" i="24"/>
  <c r="H54" i="24"/>
  <c r="H56" i="24"/>
  <c r="G54" i="24"/>
  <c r="G56" i="24"/>
  <c r="F54" i="24"/>
  <c r="F56" i="24"/>
  <c r="E54" i="24"/>
  <c r="O51" i="24"/>
  <c r="O52" i="24"/>
  <c r="N51" i="24"/>
  <c r="N52" i="24"/>
  <c r="M51" i="24"/>
  <c r="M52" i="24"/>
  <c r="L51" i="24"/>
  <c r="L52" i="24"/>
  <c r="K51" i="24"/>
  <c r="K52" i="24"/>
  <c r="J51" i="24"/>
  <c r="J52" i="24"/>
  <c r="I51" i="24"/>
  <c r="I52" i="24"/>
  <c r="H51" i="24"/>
  <c r="H52" i="24"/>
  <c r="G51" i="24"/>
  <c r="G52" i="24"/>
  <c r="O48" i="24"/>
  <c r="N48" i="24"/>
  <c r="M48" i="24"/>
  <c r="L48" i="24"/>
  <c r="K48" i="24"/>
  <c r="J48" i="24"/>
  <c r="I48" i="24"/>
  <c r="H48" i="24"/>
  <c r="G48" i="24"/>
  <c r="F48" i="24"/>
  <c r="T46" i="24"/>
  <c r="S46" i="24"/>
  <c r="R46" i="24"/>
  <c r="Q46" i="24"/>
  <c r="P46" i="24"/>
  <c r="O46" i="24"/>
  <c r="N46" i="24"/>
  <c r="M46" i="24"/>
  <c r="L46" i="24"/>
  <c r="K46" i="24"/>
  <c r="J46" i="24"/>
  <c r="T38" i="24"/>
  <c r="S38" i="24"/>
  <c r="R38" i="24"/>
  <c r="Q38" i="24"/>
  <c r="P38" i="24"/>
  <c r="O38" i="24"/>
  <c r="N38" i="24"/>
  <c r="M38" i="24"/>
  <c r="L38" i="24"/>
  <c r="K38" i="24"/>
  <c r="J38" i="24"/>
  <c r="T37" i="24"/>
  <c r="S37" i="24"/>
  <c r="R37" i="24"/>
  <c r="Q37" i="24"/>
  <c r="P37" i="24"/>
  <c r="O37" i="24"/>
  <c r="N37" i="24"/>
  <c r="M37" i="24"/>
  <c r="L37" i="24"/>
  <c r="K37" i="24"/>
  <c r="J37" i="24"/>
  <c r="T36" i="24"/>
  <c r="S36" i="24"/>
  <c r="R36" i="24"/>
  <c r="Q36" i="24"/>
  <c r="P36" i="24"/>
  <c r="O36" i="24"/>
  <c r="O41" i="24"/>
  <c r="N36" i="24"/>
  <c r="M36" i="24"/>
  <c r="L36" i="24"/>
  <c r="K36" i="24"/>
  <c r="J36" i="24"/>
  <c r="T28" i="24"/>
  <c r="S28" i="24"/>
  <c r="R28" i="24"/>
  <c r="Q28" i="24"/>
  <c r="P28" i="24"/>
  <c r="O28" i="24"/>
  <c r="N28" i="24"/>
  <c r="M28" i="24"/>
  <c r="L28" i="24"/>
  <c r="K28" i="24"/>
  <c r="J28" i="24"/>
  <c r="T26" i="24"/>
  <c r="S26" i="24"/>
  <c r="R26" i="24"/>
  <c r="Q26" i="24"/>
  <c r="P26" i="24"/>
  <c r="O26" i="24"/>
  <c r="N26" i="24"/>
  <c r="M26" i="24"/>
  <c r="L26" i="24"/>
  <c r="K26" i="24"/>
  <c r="J26" i="24"/>
  <c r="U21" i="24"/>
  <c r="T17" i="24"/>
  <c r="T25" i="24"/>
  <c r="T27" i="24"/>
  <c r="S17" i="24"/>
  <c r="S25" i="24"/>
  <c r="R17" i="24"/>
  <c r="R25" i="24"/>
  <c r="Q17" i="24"/>
  <c r="Q18" i="24"/>
  <c r="P17" i="24"/>
  <c r="P25" i="24"/>
  <c r="P27" i="24"/>
  <c r="O17" i="24"/>
  <c r="O25" i="24"/>
  <c r="N17" i="24"/>
  <c r="N25" i="24"/>
  <c r="M17" i="24"/>
  <c r="M18" i="24"/>
  <c r="L17" i="24"/>
  <c r="L25" i="24"/>
  <c r="L27" i="24"/>
  <c r="K17" i="24"/>
  <c r="K25" i="24"/>
  <c r="K27" i="24"/>
  <c r="J17" i="24"/>
  <c r="J25" i="24"/>
  <c r="U16" i="24"/>
  <c r="T14" i="24"/>
  <c r="S14" i="24"/>
  <c r="R14" i="24"/>
  <c r="Q14" i="24"/>
  <c r="P14" i="24"/>
  <c r="O14" i="24"/>
  <c r="N14" i="24"/>
  <c r="M14" i="24"/>
  <c r="L14" i="24"/>
  <c r="K14" i="24"/>
  <c r="J14" i="24"/>
  <c r="I14" i="24"/>
  <c r="T10" i="24"/>
  <c r="T13" i="24"/>
  <c r="S10" i="24"/>
  <c r="R10" i="24"/>
  <c r="R13" i="24"/>
  <c r="Q10" i="24"/>
  <c r="Q13" i="24"/>
  <c r="P10" i="24"/>
  <c r="P13" i="24"/>
  <c r="O10" i="24"/>
  <c r="O13" i="24"/>
  <c r="N10" i="24"/>
  <c r="N13" i="24"/>
  <c r="M10" i="24"/>
  <c r="M13" i="24"/>
  <c r="L10" i="24"/>
  <c r="L13" i="24"/>
  <c r="K10" i="24"/>
  <c r="K13" i="24"/>
  <c r="J10" i="24"/>
  <c r="J13" i="24"/>
  <c r="I10" i="24"/>
  <c r="I13" i="24"/>
  <c r="H37" i="23"/>
  <c r="V49" i="33"/>
  <c r="U49" i="33"/>
  <c r="J43" i="33"/>
  <c r="D352" i="31"/>
  <c r="H41" i="33"/>
  <c r="R40" i="33"/>
  <c r="I38" i="33"/>
  <c r="R37" i="33"/>
  <c r="J35" i="33"/>
  <c r="R34" i="33"/>
  <c r="K32" i="33"/>
  <c r="R31" i="33"/>
  <c r="L29" i="33"/>
  <c r="R28" i="33"/>
  <c r="M26" i="33"/>
  <c r="R25" i="33"/>
  <c r="N23" i="33"/>
  <c r="R22" i="33"/>
  <c r="O20" i="33"/>
  <c r="R19" i="33"/>
  <c r="P17" i="33"/>
  <c r="R16" i="33"/>
  <c r="Q14" i="33"/>
  <c r="R13" i="33"/>
  <c r="R8" i="33"/>
  <c r="R12" i="33"/>
  <c r="Q8" i="33"/>
  <c r="P8" i="33"/>
  <c r="O8" i="33"/>
  <c r="N8" i="33"/>
  <c r="M8" i="33"/>
  <c r="L8" i="33"/>
  <c r="K8" i="33"/>
  <c r="J8" i="33"/>
  <c r="I8" i="33"/>
  <c r="H8" i="33"/>
  <c r="R6" i="33"/>
  <c r="L349" i="31"/>
  <c r="Q6" i="33"/>
  <c r="K349" i="31"/>
  <c r="P6" i="33"/>
  <c r="J349" i="31"/>
  <c r="O6" i="33"/>
  <c r="I349" i="31"/>
  <c r="N6" i="33"/>
  <c r="H349" i="31"/>
  <c r="M6" i="33"/>
  <c r="G349" i="31"/>
  <c r="L6" i="33"/>
  <c r="F349" i="31"/>
  <c r="K6" i="33"/>
  <c r="E349" i="31"/>
  <c r="J6" i="33"/>
  <c r="D349" i="31"/>
  <c r="I6" i="33"/>
  <c r="C349" i="31"/>
  <c r="H6" i="33"/>
  <c r="G6" i="33"/>
  <c r="AF62" i="26"/>
  <c r="AD62" i="26"/>
  <c r="AF60" i="26"/>
  <c r="AD60" i="26"/>
  <c r="AF56" i="26"/>
  <c r="AD56" i="26"/>
  <c r="Q47" i="26"/>
  <c r="J47" i="26"/>
  <c r="F474" i="31"/>
  <c r="E474" i="31"/>
  <c r="F473" i="31"/>
  <c r="E473" i="31"/>
  <c r="M470" i="31"/>
  <c r="N470" i="31"/>
  <c r="F470" i="31"/>
  <c r="G470" i="31"/>
  <c r="E458" i="31"/>
  <c r="F458" i="31"/>
  <c r="G458" i="31"/>
  <c r="H458" i="31"/>
  <c r="I458" i="31"/>
  <c r="J458" i="31"/>
  <c r="K458" i="31"/>
  <c r="L458" i="31"/>
  <c r="E431" i="31"/>
  <c r="F431" i="31"/>
  <c r="G431" i="31"/>
  <c r="H431" i="31"/>
  <c r="I431" i="31"/>
  <c r="J431" i="31"/>
  <c r="K431" i="31"/>
  <c r="L431" i="31"/>
  <c r="M370" i="31"/>
  <c r="L370" i="31"/>
  <c r="K370" i="31"/>
  <c r="J370" i="31"/>
  <c r="I370" i="31"/>
  <c r="H370" i="31"/>
  <c r="G370" i="31"/>
  <c r="F370" i="31"/>
  <c r="E370" i="31"/>
  <c r="D370" i="31"/>
  <c r="E369" i="31"/>
  <c r="E315" i="31"/>
  <c r="F315" i="31"/>
  <c r="G315" i="31"/>
  <c r="H315" i="31"/>
  <c r="I315" i="31"/>
  <c r="J315" i="31"/>
  <c r="K315" i="31"/>
  <c r="L315" i="31"/>
  <c r="E289" i="31"/>
  <c r="F289" i="31"/>
  <c r="G289" i="31"/>
  <c r="H289" i="31"/>
  <c r="I289" i="31"/>
  <c r="J289" i="31"/>
  <c r="K289" i="31"/>
  <c r="L289" i="31"/>
  <c r="E261" i="31"/>
  <c r="F261" i="31"/>
  <c r="G261" i="31"/>
  <c r="H261" i="31"/>
  <c r="I261" i="31"/>
  <c r="J261" i="31"/>
  <c r="K261" i="31"/>
  <c r="L261" i="31"/>
  <c r="L254" i="31"/>
  <c r="L262" i="31"/>
  <c r="K254" i="31"/>
  <c r="K262" i="31"/>
  <c r="J254" i="31"/>
  <c r="J262" i="31"/>
  <c r="M253" i="31"/>
  <c r="E251" i="31"/>
  <c r="E222" i="31"/>
  <c r="F222" i="31"/>
  <c r="G222" i="31"/>
  <c r="H222" i="31"/>
  <c r="I222" i="31"/>
  <c r="J222" i="31"/>
  <c r="K222" i="31"/>
  <c r="L222" i="31"/>
  <c r="M222" i="31"/>
  <c r="E219" i="31"/>
  <c r="F219" i="31"/>
  <c r="G219" i="31"/>
  <c r="H219" i="31"/>
  <c r="I219" i="31"/>
  <c r="J219" i="31"/>
  <c r="K219" i="31"/>
  <c r="L219" i="31"/>
  <c r="M219" i="31"/>
  <c r="B179" i="31"/>
  <c r="B178" i="31"/>
  <c r="B177" i="31"/>
  <c r="E152" i="31"/>
  <c r="F152" i="31"/>
  <c r="G152" i="31"/>
  <c r="H152" i="31"/>
  <c r="I152" i="31"/>
  <c r="C149" i="31"/>
  <c r="E90" i="31"/>
  <c r="F90" i="31"/>
  <c r="G90" i="31"/>
  <c r="H90" i="31"/>
  <c r="I90" i="31"/>
  <c r="C87" i="31"/>
  <c r="M87" i="31"/>
  <c r="E62" i="31"/>
  <c r="F62" i="31"/>
  <c r="G62" i="31"/>
  <c r="H62" i="31"/>
  <c r="I62" i="31"/>
  <c r="B59" i="31"/>
  <c r="B58" i="31"/>
  <c r="B56" i="31"/>
  <c r="B55" i="31"/>
  <c r="B39" i="31"/>
  <c r="E31" i="31"/>
  <c r="F31" i="31"/>
  <c r="G31" i="31"/>
  <c r="H31" i="31"/>
  <c r="I31" i="31"/>
  <c r="J31" i="31"/>
  <c r="K31" i="31"/>
  <c r="L31" i="31"/>
  <c r="M31" i="31"/>
  <c r="B28" i="31"/>
  <c r="B27" i="31"/>
  <c r="B9" i="31"/>
  <c r="Q47" i="23"/>
  <c r="S26" i="23"/>
  <c r="P26" i="23"/>
  <c r="H6" i="23"/>
  <c r="B51" i="34"/>
  <c r="H43" i="34"/>
  <c r="G43" i="34"/>
  <c r="F43" i="34"/>
  <c r="E43" i="34"/>
  <c r="B43" i="34"/>
  <c r="I604" i="31"/>
  <c r="H604" i="31"/>
  <c r="G604" i="31"/>
  <c r="F604" i="31"/>
  <c r="E604" i="31"/>
  <c r="D604" i="31"/>
  <c r="L594" i="31"/>
  <c r="H594" i="31"/>
  <c r="G594" i="31"/>
  <c r="F594" i="31"/>
  <c r="E594" i="31"/>
  <c r="D594" i="31"/>
  <c r="L665" i="31"/>
  <c r="L667" i="31" s="1"/>
  <c r="H8" i="34"/>
  <c r="H10" i="23" s="1"/>
  <c r="S27" i="24"/>
  <c r="O42" i="24"/>
  <c r="N41" i="24"/>
  <c r="Q35" i="24"/>
  <c r="Q40" i="24"/>
  <c r="F23" i="25"/>
  <c r="K11" i="24"/>
  <c r="N22" i="25"/>
  <c r="O27" i="24"/>
  <c r="O29" i="24"/>
  <c r="K42" i="24"/>
  <c r="J41" i="24"/>
  <c r="R41" i="24"/>
  <c r="N23" i="25"/>
  <c r="I46" i="25"/>
  <c r="K41" i="24"/>
  <c r="S41" i="24"/>
  <c r="M35" i="24"/>
  <c r="M40" i="24"/>
  <c r="H21" i="25"/>
  <c r="O44" i="25"/>
  <c r="I45" i="25"/>
  <c r="I47" i="25"/>
  <c r="O11" i="24"/>
  <c r="S11" i="24"/>
  <c r="S13" i="24"/>
  <c r="U13" i="24"/>
  <c r="H16" i="28"/>
  <c r="N18" i="24"/>
  <c r="J42" i="24"/>
  <c r="N42" i="24"/>
  <c r="R42" i="24"/>
  <c r="L21" i="25"/>
  <c r="P21" i="25"/>
  <c r="M22" i="25"/>
  <c r="O45" i="25"/>
  <c r="D10" i="28"/>
  <c r="G9" i="28"/>
  <c r="D23" i="28"/>
  <c r="P18" i="24"/>
  <c r="J35" i="24"/>
  <c r="J32" i="24"/>
  <c r="F21" i="25"/>
  <c r="J21" i="25"/>
  <c r="G22" i="25"/>
  <c r="L44" i="25"/>
  <c r="F45" i="25"/>
  <c r="J45" i="25"/>
  <c r="J18" i="24"/>
  <c r="R18" i="24"/>
  <c r="R19" i="24"/>
  <c r="M25" i="24"/>
  <c r="M27" i="24"/>
  <c r="N35" i="24"/>
  <c r="N40" i="24"/>
  <c r="N43" i="24"/>
  <c r="L41" i="24"/>
  <c r="P41" i="24"/>
  <c r="T41" i="24"/>
  <c r="R9" i="25"/>
  <c r="M24" i="25"/>
  <c r="K21" i="25"/>
  <c r="O21" i="25"/>
  <c r="H22" i="25"/>
  <c r="L22" i="25"/>
  <c r="P22" i="25"/>
  <c r="M23" i="25"/>
  <c r="J22" i="25"/>
  <c r="G23" i="25"/>
  <c r="G24" i="25"/>
  <c r="J27" i="24"/>
  <c r="J29" i="24"/>
  <c r="J30" i="24"/>
  <c r="N27" i="24"/>
  <c r="N29" i="24"/>
  <c r="N24" i="24"/>
  <c r="R27" i="24"/>
  <c r="R29" i="24"/>
  <c r="R24" i="24"/>
  <c r="L18" i="24"/>
  <c r="T18" i="24"/>
  <c r="T19" i="24"/>
  <c r="Q25" i="24"/>
  <c r="Q27" i="24"/>
  <c r="Q20" i="24"/>
  <c r="Q22" i="24"/>
  <c r="U26" i="24"/>
  <c r="U28" i="24"/>
  <c r="R35" i="24"/>
  <c r="R40" i="24"/>
  <c r="R43" i="24"/>
  <c r="K35" i="24"/>
  <c r="K32" i="24"/>
  <c r="O35" i="24"/>
  <c r="O32" i="24"/>
  <c r="S42" i="24"/>
  <c r="N44" i="25"/>
  <c r="H45" i="25"/>
  <c r="H47" i="25"/>
  <c r="J13" i="26"/>
  <c r="F5" i="26"/>
  <c r="O24" i="26"/>
  <c r="M20" i="24"/>
  <c r="M22" i="24"/>
  <c r="M29" i="24"/>
  <c r="S48" i="20"/>
  <c r="J24" i="24"/>
  <c r="N30" i="24"/>
  <c r="G16" i="28"/>
  <c r="G17" i="28"/>
  <c r="J13" i="28"/>
  <c r="D16" i="28"/>
  <c r="M5" i="26"/>
  <c r="C347" i="31"/>
  <c r="C339" i="31"/>
  <c r="D339" i="31"/>
  <c r="E339" i="31"/>
  <c r="F339" i="31"/>
  <c r="G339" i="31"/>
  <c r="H339" i="31"/>
  <c r="I339" i="31"/>
  <c r="J339" i="31"/>
  <c r="K339" i="31"/>
  <c r="L339" i="31"/>
  <c r="K29" i="24"/>
  <c r="K20" i="24"/>
  <c r="K22" i="24"/>
  <c r="S29" i="24"/>
  <c r="S20" i="24"/>
  <c r="S22" i="24"/>
  <c r="L29" i="24"/>
  <c r="L20" i="24"/>
  <c r="L22" i="24"/>
  <c r="P29" i="24"/>
  <c r="P20" i="24"/>
  <c r="P22" i="24"/>
  <c r="T29" i="24"/>
  <c r="T20" i="24"/>
  <c r="T22" i="24"/>
  <c r="L42" i="24"/>
  <c r="L35" i="24"/>
  <c r="P42" i="24"/>
  <c r="P35" i="24"/>
  <c r="T42" i="24"/>
  <c r="T35" i="24"/>
  <c r="I9" i="25"/>
  <c r="I23" i="25"/>
  <c r="I22" i="25"/>
  <c r="K43" i="33"/>
  <c r="U14" i="24"/>
  <c r="N32" i="24"/>
  <c r="L11" i="24"/>
  <c r="P11" i="24"/>
  <c r="T11" i="24"/>
  <c r="K18" i="24"/>
  <c r="O18" i="24"/>
  <c r="S18" i="24"/>
  <c r="S19" i="24"/>
  <c r="S35" i="24"/>
  <c r="M42" i="24"/>
  <c r="Q42" i="24"/>
  <c r="J24" i="25"/>
  <c r="L45" i="25"/>
  <c r="F46" i="25"/>
  <c r="J46" i="25"/>
  <c r="N46" i="25"/>
  <c r="M44" i="25"/>
  <c r="D17" i="28"/>
  <c r="I11" i="24"/>
  <c r="M11" i="24"/>
  <c r="Q11" i="24"/>
  <c r="M41" i="24"/>
  <c r="M43" i="24"/>
  <c r="Q41" i="24"/>
  <c r="Q43" i="24"/>
  <c r="I21" i="25"/>
  <c r="F22" i="25"/>
  <c r="K23" i="25"/>
  <c r="O23" i="25"/>
  <c r="N24" i="25"/>
  <c r="M45" i="25"/>
  <c r="G46" i="25"/>
  <c r="G47" i="25"/>
  <c r="K46" i="25"/>
  <c r="O46" i="25"/>
  <c r="G45" i="25"/>
  <c r="J11" i="24"/>
  <c r="N11" i="24"/>
  <c r="R11" i="24"/>
  <c r="K22" i="25"/>
  <c r="O22" i="25"/>
  <c r="H23" i="25"/>
  <c r="H24" i="25"/>
  <c r="L23" i="25"/>
  <c r="P23" i="25"/>
  <c r="N45" i="25"/>
  <c r="H46" i="25"/>
  <c r="L46" i="25"/>
  <c r="K45" i="25"/>
  <c r="D22" i="28"/>
  <c r="R18" i="33"/>
  <c r="R20" i="33"/>
  <c r="V20" i="33"/>
  <c r="E340" i="31"/>
  <c r="K122" i="31"/>
  <c r="L122" i="31"/>
  <c r="H28" i="26"/>
  <c r="H26" i="26"/>
  <c r="R14" i="33"/>
  <c r="V14" i="33"/>
  <c r="C340" i="31"/>
  <c r="G584" i="31"/>
  <c r="D584" i="31"/>
  <c r="H584" i="31"/>
  <c r="M15" i="26"/>
  <c r="E584" i="31"/>
  <c r="F584" i="31"/>
  <c r="K564" i="31"/>
  <c r="K554" i="31"/>
  <c r="D564" i="31"/>
  <c r="F554" i="31"/>
  <c r="R30" i="33"/>
  <c r="R32" i="33"/>
  <c r="V32" i="33"/>
  <c r="I340" i="31"/>
  <c r="T47" i="26"/>
  <c r="H10" i="33"/>
  <c r="R39" i="33"/>
  <c r="R41" i="33"/>
  <c r="V41" i="33"/>
  <c r="L340" i="31"/>
  <c r="R27" i="33"/>
  <c r="R29" i="33"/>
  <c r="V29" i="33"/>
  <c r="H340" i="31"/>
  <c r="R15" i="33"/>
  <c r="R17" i="33"/>
  <c r="V17" i="33"/>
  <c r="D340" i="31"/>
  <c r="R36" i="33"/>
  <c r="R38" i="33"/>
  <c r="V38" i="33"/>
  <c r="K340" i="31"/>
  <c r="R24" i="33"/>
  <c r="R26" i="33"/>
  <c r="V26" i="33"/>
  <c r="G340" i="31"/>
  <c r="R33" i="33"/>
  <c r="R35" i="33"/>
  <c r="V35" i="33"/>
  <c r="J340" i="31"/>
  <c r="R21" i="33"/>
  <c r="R23" i="33"/>
  <c r="V23" i="33"/>
  <c r="F340" i="31"/>
  <c r="J10" i="33"/>
  <c r="N10" i="33"/>
  <c r="R10" i="33"/>
  <c r="K10" i="33"/>
  <c r="O10" i="33"/>
  <c r="L10" i="33"/>
  <c r="P10" i="33"/>
  <c r="I10" i="33"/>
  <c r="M10" i="33"/>
  <c r="Q10" i="33"/>
  <c r="M57" i="24"/>
  <c r="M58" i="24"/>
  <c r="N57" i="24"/>
  <c r="N58" i="24"/>
  <c r="G57" i="24"/>
  <c r="G58" i="24"/>
  <c r="K57" i="24"/>
  <c r="K58" i="24"/>
  <c r="O57" i="24"/>
  <c r="O58" i="24"/>
  <c r="H57" i="24"/>
  <c r="H58" i="24"/>
  <c r="L57" i="24"/>
  <c r="L58" i="24"/>
  <c r="M254" i="31"/>
  <c r="M262" i="31"/>
  <c r="M264" i="31"/>
  <c r="G474" i="31"/>
  <c r="H8" i="23"/>
  <c r="H20" i="26"/>
  <c r="Q13" i="26"/>
  <c r="K258" i="31"/>
  <c r="L554" i="31"/>
  <c r="H24" i="26"/>
  <c r="F251" i="31"/>
  <c r="E256" i="31"/>
  <c r="H544" i="31"/>
  <c r="H48" i="23"/>
  <c r="R28" i="20"/>
  <c r="F369" i="31"/>
  <c r="E383" i="31"/>
  <c r="E387" i="31"/>
  <c r="L221" i="31"/>
  <c r="K399" i="31"/>
  <c r="E475" i="31"/>
  <c r="E477" i="31"/>
  <c r="K221" i="31"/>
  <c r="F475" i="31"/>
  <c r="O20" i="24"/>
  <c r="O22" i="24"/>
  <c r="R32" i="24"/>
  <c r="N20" i="24"/>
  <c r="N22" i="24"/>
  <c r="R30" i="24"/>
  <c r="Q32" i="24"/>
  <c r="U25" i="24"/>
  <c r="O47" i="25"/>
  <c r="Q29" i="24"/>
  <c r="O24" i="25"/>
  <c r="J47" i="25"/>
  <c r="T13" i="26"/>
  <c r="M32" i="24"/>
  <c r="P24" i="25"/>
  <c r="K24" i="25"/>
  <c r="M47" i="25"/>
  <c r="F24" i="25"/>
  <c r="F47" i="25"/>
  <c r="J20" i="24"/>
  <c r="J22" i="24"/>
  <c r="L24" i="25"/>
  <c r="L47" i="25"/>
  <c r="U27" i="24"/>
  <c r="N47" i="25"/>
  <c r="U19" i="24"/>
  <c r="J40" i="24"/>
  <c r="J43" i="24"/>
  <c r="K47" i="25"/>
  <c r="U18" i="24"/>
  <c r="U29" i="24"/>
  <c r="U24" i="24"/>
  <c r="K40" i="24"/>
  <c r="K43" i="24"/>
  <c r="R20" i="24"/>
  <c r="R22" i="24"/>
  <c r="I24" i="25"/>
  <c r="O40" i="24"/>
  <c r="O43" i="24"/>
  <c r="D13" i="28"/>
  <c r="M14" i="28"/>
  <c r="J12" i="28"/>
  <c r="J14" i="28"/>
  <c r="J554" i="31"/>
  <c r="T65" i="42"/>
  <c r="I553" i="31"/>
  <c r="K257" i="31"/>
  <c r="K535" i="31"/>
  <c r="M27" i="26"/>
  <c r="M19" i="26"/>
  <c r="M29" i="26"/>
  <c r="O7" i="26"/>
  <c r="AE55" i="26"/>
  <c r="AE56" i="26"/>
  <c r="O12" i="26"/>
  <c r="O28" i="26"/>
  <c r="T28" i="26"/>
  <c r="O20" i="26"/>
  <c r="F19" i="26"/>
  <c r="M11" i="26"/>
  <c r="AE58" i="26"/>
  <c r="F23" i="26"/>
  <c r="M23" i="26"/>
  <c r="T5" i="26"/>
  <c r="H7" i="26"/>
  <c r="AC55" i="26"/>
  <c r="AC56" i="26"/>
  <c r="F29" i="26"/>
  <c r="F27" i="26"/>
  <c r="F25" i="26"/>
  <c r="T30" i="24"/>
  <c r="T24" i="24"/>
  <c r="Q30" i="24"/>
  <c r="Q24" i="24"/>
  <c r="E352" i="31"/>
  <c r="L43" i="33"/>
  <c r="L32" i="24"/>
  <c r="L40" i="24"/>
  <c r="L43" i="24"/>
  <c r="L30" i="24"/>
  <c r="L24" i="24"/>
  <c r="K30" i="24"/>
  <c r="K24" i="24"/>
  <c r="S40" i="24"/>
  <c r="S43" i="24"/>
  <c r="S32" i="24"/>
  <c r="P32" i="24"/>
  <c r="P40" i="24"/>
  <c r="P43" i="24"/>
  <c r="P30" i="24"/>
  <c r="P24" i="24"/>
  <c r="O30" i="24"/>
  <c r="O24" i="24"/>
  <c r="T40" i="24"/>
  <c r="T43" i="24"/>
  <c r="T32" i="24"/>
  <c r="D347" i="31"/>
  <c r="S30" i="24"/>
  <c r="S24" i="24"/>
  <c r="M30" i="24"/>
  <c r="M24" i="24"/>
  <c r="D24" i="28"/>
  <c r="D25" i="28"/>
  <c r="H554" i="31"/>
  <c r="G475" i="31"/>
  <c r="G477" i="31"/>
  <c r="Q21" i="26"/>
  <c r="H12" i="26"/>
  <c r="J21" i="26"/>
  <c r="E554" i="31"/>
  <c r="F11" i="26"/>
  <c r="AC58" i="26"/>
  <c r="D64" i="31"/>
  <c r="H574" i="31"/>
  <c r="H223" i="31"/>
  <c r="G665" i="31"/>
  <c r="G667" i="31" s="1"/>
  <c r="K665" i="31"/>
  <c r="K667" i="31" s="1"/>
  <c r="D554" i="31"/>
  <c r="G554" i="31"/>
  <c r="I665" i="31"/>
  <c r="I667" i="31" s="1"/>
  <c r="E574" i="31"/>
  <c r="E223" i="31"/>
  <c r="H665" i="31"/>
  <c r="H667" i="31" s="1"/>
  <c r="F665" i="31"/>
  <c r="F667" i="31" s="1"/>
  <c r="D574" i="31"/>
  <c r="D223" i="31"/>
  <c r="J665" i="31"/>
  <c r="J667" i="31" s="1"/>
  <c r="F574" i="31"/>
  <c r="F223" i="31"/>
  <c r="E665" i="31"/>
  <c r="E667" i="31" s="1"/>
  <c r="D665" i="31"/>
  <c r="O665" i="31" s="1"/>
  <c r="O667" i="31" s="1"/>
  <c r="G574" i="31"/>
  <c r="G223" i="31"/>
  <c r="K344" i="31"/>
  <c r="Q46" i="33"/>
  <c r="L344" i="31"/>
  <c r="R46" i="33"/>
  <c r="G344" i="31"/>
  <c r="M46" i="33"/>
  <c r="J344" i="31"/>
  <c r="P46" i="33"/>
  <c r="I344" i="31"/>
  <c r="O46" i="33"/>
  <c r="H344" i="31"/>
  <c r="N46" i="33"/>
  <c r="C344" i="31"/>
  <c r="I46" i="33"/>
  <c r="F344" i="31"/>
  <c r="L46" i="33"/>
  <c r="E344" i="31"/>
  <c r="K46" i="33"/>
  <c r="D344" i="31"/>
  <c r="J46" i="33"/>
  <c r="L474" i="31"/>
  <c r="K536" i="31"/>
  <c r="M479" i="31"/>
  <c r="J39" i="26"/>
  <c r="Q39" i="26"/>
  <c r="D257" i="31"/>
  <c r="D535" i="31"/>
  <c r="L258" i="31"/>
  <c r="D258" i="31"/>
  <c r="D536" i="31"/>
  <c r="T24" i="26"/>
  <c r="G251" i="31"/>
  <c r="F256" i="31"/>
  <c r="F544" i="31"/>
  <c r="H36" i="23"/>
  <c r="F35" i="26"/>
  <c r="E544" i="31"/>
  <c r="H50" i="23"/>
  <c r="H51" i="23"/>
  <c r="D544" i="31"/>
  <c r="G544" i="31"/>
  <c r="G369" i="31"/>
  <c r="F383" i="31"/>
  <c r="F387" i="31"/>
  <c r="K400" i="31"/>
  <c r="F477" i="31"/>
  <c r="M290" i="31"/>
  <c r="T27" i="26"/>
  <c r="U30" i="24"/>
  <c r="U20" i="24"/>
  <c r="U22" i="24"/>
  <c r="I554" i="31"/>
  <c r="S65" i="42"/>
  <c r="H553" i="31"/>
  <c r="L473" i="31"/>
  <c r="K259" i="31"/>
  <c r="K263" i="31"/>
  <c r="K264" i="31"/>
  <c r="T7" i="26"/>
  <c r="T19" i="26"/>
  <c r="T23" i="26"/>
  <c r="AE60" i="26"/>
  <c r="T12" i="26"/>
  <c r="AE62" i="26"/>
  <c r="AC60" i="26"/>
  <c r="T20" i="26"/>
  <c r="D26" i="28"/>
  <c r="F352" i="31"/>
  <c r="M43" i="33"/>
  <c r="E347" i="31"/>
  <c r="M25" i="26"/>
  <c r="T25" i="26"/>
  <c r="G224" i="31"/>
  <c r="AC62" i="26"/>
  <c r="T21" i="26"/>
  <c r="O26" i="26"/>
  <c r="T26" i="26"/>
  <c r="L257" i="31"/>
  <c r="L535" i="31"/>
  <c r="T11" i="26"/>
  <c r="L479" i="31"/>
  <c r="F224" i="31"/>
  <c r="E224" i="31"/>
  <c r="H224" i="31"/>
  <c r="O223" i="31"/>
  <c r="K396" i="31" s="1"/>
  <c r="E353" i="31"/>
  <c r="F379" i="31"/>
  <c r="F385" i="31"/>
  <c r="C353" i="31"/>
  <c r="V46" i="33"/>
  <c r="U46" i="33"/>
  <c r="D379" i="31"/>
  <c r="D385" i="31"/>
  <c r="H353" i="31"/>
  <c r="I379" i="31"/>
  <c r="I385" i="31"/>
  <c r="J353" i="31"/>
  <c r="K379" i="31"/>
  <c r="K385" i="31"/>
  <c r="K353" i="31"/>
  <c r="L379" i="31"/>
  <c r="L385" i="31"/>
  <c r="D353" i="31"/>
  <c r="E379" i="31"/>
  <c r="E385" i="31"/>
  <c r="F353" i="31"/>
  <c r="G379" i="31"/>
  <c r="G385" i="31"/>
  <c r="I353" i="31"/>
  <c r="J379" i="31"/>
  <c r="J385" i="31"/>
  <c r="G353" i="31"/>
  <c r="H379" i="31"/>
  <c r="H385" i="31"/>
  <c r="L353" i="31"/>
  <c r="M379" i="31"/>
  <c r="M385" i="31"/>
  <c r="M474" i="31"/>
  <c r="L536" i="31"/>
  <c r="T39" i="26"/>
  <c r="D259" i="31"/>
  <c r="D263" i="31"/>
  <c r="H251" i="31"/>
  <c r="G256" i="31"/>
  <c r="H369" i="31"/>
  <c r="G383" i="31"/>
  <c r="G387" i="31"/>
  <c r="L475" i="31"/>
  <c r="L477" i="31"/>
  <c r="P11" i="20"/>
  <c r="I22" i="28"/>
  <c r="I24" i="28"/>
  <c r="G352" i="31"/>
  <c r="N43" i="33"/>
  <c r="F347" i="31"/>
  <c r="M473" i="31"/>
  <c r="L259" i="31"/>
  <c r="L263" i="31"/>
  <c r="L264" i="31"/>
  <c r="K404" i="31"/>
  <c r="F4" i="33"/>
  <c r="I251" i="31"/>
  <c r="H256" i="31"/>
  <c r="I369" i="31"/>
  <c r="H383" i="31"/>
  <c r="H387" i="31"/>
  <c r="G347" i="31"/>
  <c r="H352" i="31"/>
  <c r="O43" i="33"/>
  <c r="M124" i="31"/>
  <c r="M123" i="31"/>
  <c r="M475" i="31"/>
  <c r="M477" i="31"/>
  <c r="M257" i="31"/>
  <c r="J251" i="31"/>
  <c r="I256" i="31"/>
  <c r="N477" i="31"/>
  <c r="J369" i="31"/>
  <c r="I383" i="31"/>
  <c r="I387" i="31"/>
  <c r="I352" i="31"/>
  <c r="P43" i="33"/>
  <c r="H347" i="31"/>
  <c r="M461" i="31"/>
  <c r="M460" i="31"/>
  <c r="J4" i="33"/>
  <c r="K47" i="33"/>
  <c r="H4" i="33"/>
  <c r="I47" i="33"/>
  <c r="M4" i="33"/>
  <c r="N47" i="33"/>
  <c r="I4" i="33"/>
  <c r="J47" i="33"/>
  <c r="K4" i="33"/>
  <c r="L47" i="33"/>
  <c r="M459" i="31"/>
  <c r="L4" i="33"/>
  <c r="M47" i="33"/>
  <c r="Q4" i="33"/>
  <c r="R47" i="33"/>
  <c r="O4" i="33"/>
  <c r="P47" i="33"/>
  <c r="R4" i="33"/>
  <c r="P4" i="33"/>
  <c r="Q47" i="33"/>
  <c r="M535" i="31"/>
  <c r="N473" i="31"/>
  <c r="K251" i="31"/>
  <c r="J256" i="31"/>
  <c r="K369" i="31"/>
  <c r="J383" i="31"/>
  <c r="J387" i="31"/>
  <c r="J352" i="31"/>
  <c r="Q43" i="33"/>
  <c r="I347" i="31"/>
  <c r="M462" i="31"/>
  <c r="I145" i="43"/>
  <c r="M48" i="33"/>
  <c r="H380" i="31"/>
  <c r="K48" i="33"/>
  <c r="F380" i="31"/>
  <c r="Q48" i="33"/>
  <c r="L380" i="31"/>
  <c r="P48" i="33"/>
  <c r="K380" i="31"/>
  <c r="J48" i="33"/>
  <c r="E380" i="31"/>
  <c r="I48" i="33"/>
  <c r="D380" i="31"/>
  <c r="V47" i="33"/>
  <c r="U47" i="33"/>
  <c r="C354" i="31"/>
  <c r="R48" i="33"/>
  <c r="M380" i="31"/>
  <c r="L48" i="33"/>
  <c r="G380" i="31"/>
  <c r="N48" i="33"/>
  <c r="I380" i="31"/>
  <c r="L251" i="31"/>
  <c r="K256" i="31"/>
  <c r="L369" i="31"/>
  <c r="K383" i="31"/>
  <c r="K387" i="31"/>
  <c r="J347" i="31"/>
  <c r="K352" i="31"/>
  <c r="R43" i="33"/>
  <c r="L352" i="31"/>
  <c r="M381" i="31"/>
  <c r="M371" i="31"/>
  <c r="R51" i="33"/>
  <c r="F33" i="26"/>
  <c r="D354" i="31"/>
  <c r="C355" i="31"/>
  <c r="L381" i="31"/>
  <c r="L371" i="31"/>
  <c r="Q51" i="33"/>
  <c r="G460" i="31"/>
  <c r="E381" i="31"/>
  <c r="E371" i="31"/>
  <c r="J51" i="33"/>
  <c r="L51" i="33"/>
  <c r="G381" i="31"/>
  <c r="G371" i="31"/>
  <c r="F460" i="31"/>
  <c r="P51" i="33"/>
  <c r="K381" i="31"/>
  <c r="K371" i="31"/>
  <c r="F381" i="31"/>
  <c r="F371" i="31"/>
  <c r="K51" i="33"/>
  <c r="M51" i="33"/>
  <c r="H381" i="31"/>
  <c r="H371" i="31"/>
  <c r="J40" i="26"/>
  <c r="J41" i="26"/>
  <c r="K124" i="31"/>
  <c r="K123" i="31"/>
  <c r="L123" i="31"/>
  <c r="Q40" i="26"/>
  <c r="L124" i="31"/>
  <c r="V48" i="33"/>
  <c r="U48" i="33"/>
  <c r="U50" i="33"/>
  <c r="D381" i="31"/>
  <c r="D371" i="31"/>
  <c r="I51" i="33"/>
  <c r="N51" i="33"/>
  <c r="I381" i="31"/>
  <c r="I371" i="31"/>
  <c r="M251" i="31"/>
  <c r="M256" i="31"/>
  <c r="L256" i="31"/>
  <c r="M369" i="31"/>
  <c r="L383" i="31"/>
  <c r="L387" i="31"/>
  <c r="K347" i="31"/>
  <c r="D461" i="31"/>
  <c r="D460" i="31"/>
  <c r="T40" i="26"/>
  <c r="Q41" i="26"/>
  <c r="T41" i="26"/>
  <c r="G461" i="31"/>
  <c r="U51" i="33"/>
  <c r="V51" i="33"/>
  <c r="F461" i="31"/>
  <c r="E354" i="31"/>
  <c r="D355" i="31"/>
  <c r="L347" i="31"/>
  <c r="F459" i="31"/>
  <c r="F462" i="31"/>
  <c r="D459" i="31"/>
  <c r="D462" i="31"/>
  <c r="F31" i="26"/>
  <c r="F43" i="26"/>
  <c r="G459" i="31"/>
  <c r="G462" i="31"/>
  <c r="F354" i="31"/>
  <c r="E355" i="31"/>
  <c r="E461" i="31"/>
  <c r="E460" i="31"/>
  <c r="G354" i="31"/>
  <c r="F355" i="31"/>
  <c r="J32" i="26"/>
  <c r="J36" i="26"/>
  <c r="F45" i="26"/>
  <c r="J34" i="26"/>
  <c r="E459" i="31"/>
  <c r="E462" i="31"/>
  <c r="J37" i="26"/>
  <c r="H354" i="31"/>
  <c r="G355" i="31"/>
  <c r="H355" i="31"/>
  <c r="I354" i="31"/>
  <c r="I355" i="31"/>
  <c r="J354" i="31"/>
  <c r="J355" i="31"/>
  <c r="K354" i="31"/>
  <c r="K355" i="31"/>
  <c r="L354" i="31"/>
  <c r="L355" i="31"/>
  <c r="I54" i="24"/>
  <c r="I56" i="24"/>
  <c r="I57" i="24"/>
  <c r="I58" i="24"/>
  <c r="J57" i="24"/>
  <c r="J58" i="24"/>
  <c r="N4" i="33"/>
  <c r="O47" i="33"/>
  <c r="O48" i="33"/>
  <c r="J380" i="31"/>
  <c r="J381" i="31"/>
  <c r="J371" i="31"/>
  <c r="O51" i="33"/>
  <c r="O32" i="42"/>
  <c r="D116" i="31"/>
  <c r="D432" i="31"/>
  <c r="H460" i="31"/>
  <c r="O33" i="42"/>
  <c r="H461" i="31"/>
  <c r="O34" i="42"/>
  <c r="H459" i="31"/>
  <c r="O46" i="20"/>
  <c r="D433" i="31"/>
  <c r="D117" i="31"/>
  <c r="D434" i="31"/>
  <c r="D118" i="31"/>
  <c r="H462" i="31"/>
  <c r="O35" i="42"/>
  <c r="D119" i="31"/>
  <c r="H35" i="23"/>
  <c r="H41" i="23"/>
  <c r="H39" i="23"/>
  <c r="H47" i="23"/>
  <c r="H42" i="23"/>
  <c r="H46" i="23"/>
  <c r="H56" i="23"/>
  <c r="H53" i="23"/>
  <c r="H54" i="23"/>
  <c r="F15" i="26" l="1"/>
  <c r="W7" i="20"/>
  <c r="F76" i="36"/>
  <c r="K32" i="67"/>
  <c r="Q32" i="67"/>
  <c r="P25" i="67"/>
  <c r="AA26" i="67"/>
  <c r="S20" i="23"/>
  <c r="S31" i="23" s="1"/>
  <c r="S41" i="23"/>
  <c r="T7" i="20"/>
  <c r="T63" i="20" s="1"/>
  <c r="T65" i="20" s="1"/>
  <c r="F17" i="26"/>
  <c r="T17" i="26" s="1"/>
  <c r="Q7" i="20"/>
  <c r="Q63" i="20" s="1"/>
  <c r="Q67" i="20" s="1"/>
  <c r="T11" i="20"/>
  <c r="T12" i="20" s="1"/>
  <c r="T15" i="20" s="1"/>
  <c r="X7" i="20"/>
  <c r="P12" i="20"/>
  <c r="P15" i="20" s="1"/>
  <c r="R63" i="23"/>
  <c r="R8" i="42" s="1"/>
  <c r="S93" i="42"/>
  <c r="H291" i="31"/>
  <c r="R39" i="23"/>
  <c r="U30" i="67"/>
  <c r="M30" i="67"/>
  <c r="O29" i="42"/>
  <c r="D113" i="31" s="1"/>
  <c r="O20" i="42"/>
  <c r="D103" i="31" s="1"/>
  <c r="S20" i="42"/>
  <c r="H103" i="31" s="1"/>
  <c r="X23" i="20"/>
  <c r="S12" i="20"/>
  <c r="S15" i="20" s="1"/>
  <c r="S21" i="34"/>
  <c r="I64" i="31" s="1"/>
  <c r="V7" i="20"/>
  <c r="S48" i="23"/>
  <c r="S50" i="23" s="1"/>
  <c r="O39" i="23"/>
  <c r="S7" i="20"/>
  <c r="S63" i="20" s="1"/>
  <c r="S65" i="20" s="1"/>
  <c r="O63" i="23"/>
  <c r="O8" i="42" s="1"/>
  <c r="D93" i="31" s="1"/>
  <c r="N93" i="31" s="1"/>
  <c r="V23" i="20"/>
  <c r="I106" i="31"/>
  <c r="X12" i="20"/>
  <c r="X15" i="20" s="1"/>
  <c r="Q63" i="23"/>
  <c r="Q8" i="42" s="1"/>
  <c r="R59" i="23"/>
  <c r="E103" i="31"/>
  <c r="P22" i="42"/>
  <c r="E105" i="31" s="1"/>
  <c r="L604" i="31"/>
  <c r="O13" i="42"/>
  <c r="D96" i="31" s="1"/>
  <c r="S29" i="42"/>
  <c r="H508" i="31" s="1"/>
  <c r="S63" i="23"/>
  <c r="S8" i="42" s="1"/>
  <c r="Q89" i="42"/>
  <c r="Q97" i="42" s="1"/>
  <c r="F583" i="31" s="1"/>
  <c r="T26" i="23"/>
  <c r="E95" i="31"/>
  <c r="P13" i="42"/>
  <c r="E96" i="31" s="1"/>
  <c r="G32" i="31"/>
  <c r="P29" i="42"/>
  <c r="E32" i="31"/>
  <c r="U7" i="20"/>
  <c r="Q39" i="23"/>
  <c r="P103" i="23"/>
  <c r="F642" i="31" s="1"/>
  <c r="Q18" i="42"/>
  <c r="F101" i="31" s="1"/>
  <c r="Q103" i="23"/>
  <c r="G642" i="31" s="1"/>
  <c r="F291" i="31"/>
  <c r="R47" i="23"/>
  <c r="R69" i="23" s="1"/>
  <c r="P21" i="34"/>
  <c r="F64" i="31" s="1"/>
  <c r="Q12" i="20"/>
  <c r="Q15" i="20" s="1"/>
  <c r="F113" i="31"/>
  <c r="F508" i="31"/>
  <c r="F253" i="31"/>
  <c r="P48" i="23"/>
  <c r="P90" i="23" s="1"/>
  <c r="P92" i="23" s="1"/>
  <c r="F258" i="31"/>
  <c r="F536" i="31" s="1"/>
  <c r="Q20" i="42"/>
  <c r="Q39" i="42" s="1"/>
  <c r="F123" i="31" s="1"/>
  <c r="O21" i="34"/>
  <c r="E64" i="31" s="1"/>
  <c r="Q96" i="23"/>
  <c r="Q67" i="42" s="1"/>
  <c r="F563" i="31" s="1"/>
  <c r="O103" i="23"/>
  <c r="O106" i="23" s="1"/>
  <c r="P39" i="23"/>
  <c r="R53" i="42"/>
  <c r="Q13" i="42"/>
  <c r="F96" i="31" s="1"/>
  <c r="S55" i="34"/>
  <c r="S39" i="23"/>
  <c r="Q48" i="23"/>
  <c r="Q56" i="23" s="1"/>
  <c r="R103" i="23"/>
  <c r="R106" i="23" s="1"/>
  <c r="T23" i="20"/>
  <c r="U23" i="20"/>
  <c r="F95" i="31"/>
  <c r="S59" i="23"/>
  <c r="S76" i="42"/>
  <c r="Y12" i="20"/>
  <c r="Y15" i="20" s="1"/>
  <c r="Q55" i="34"/>
  <c r="K584" i="31" s="1"/>
  <c r="H106" i="31"/>
  <c r="Q69" i="23"/>
  <c r="T86" i="42"/>
  <c r="S79" i="42"/>
  <c r="S55" i="42"/>
  <c r="W23" i="20"/>
  <c r="R12" i="20"/>
  <c r="R15" i="20" s="1"/>
  <c r="G258" i="31"/>
  <c r="G536" i="31" s="1"/>
  <c r="E641" i="31"/>
  <c r="T21" i="34"/>
  <c r="P89" i="42"/>
  <c r="E616" i="31" s="1"/>
  <c r="E627" i="31" s="1"/>
  <c r="X18" i="20"/>
  <c r="X21" i="20" s="1"/>
  <c r="Y7" i="20"/>
  <c r="I258" i="31"/>
  <c r="I536" i="31" s="1"/>
  <c r="O47" i="23"/>
  <c r="O20" i="23"/>
  <c r="O31" i="23" s="1"/>
  <c r="S98" i="23"/>
  <c r="Q21" i="20"/>
  <c r="O23" i="20"/>
  <c r="S21" i="20"/>
  <c r="T29" i="26"/>
  <c r="P20" i="23"/>
  <c r="P31" i="23" s="1"/>
  <c r="Q21" i="34"/>
  <c r="G64" i="31" s="1"/>
  <c r="T55" i="34"/>
  <c r="W11" i="20"/>
  <c r="W12" i="20" s="1"/>
  <c r="W15" i="20" s="1"/>
  <c r="O96" i="23"/>
  <c r="O67" i="42" s="1"/>
  <c r="D563" i="31" s="1"/>
  <c r="S89" i="42"/>
  <c r="H616" i="31" s="1"/>
  <c r="H628" i="31" s="1"/>
  <c r="S22" i="42"/>
  <c r="T39" i="23"/>
  <c r="Q53" i="42"/>
  <c r="R89" i="42"/>
  <c r="G616" i="31" s="1"/>
  <c r="G628" i="31" s="1"/>
  <c r="G613" i="31"/>
  <c r="T21" i="20"/>
  <c r="R21" i="20"/>
  <c r="W21" i="20"/>
  <c r="V21" i="20"/>
  <c r="O55" i="34"/>
  <c r="I584" i="31" s="1"/>
  <c r="R21" i="34"/>
  <c r="H64" i="31" s="1"/>
  <c r="P21" i="20"/>
  <c r="R55" i="34"/>
  <c r="L584" i="31" s="1"/>
  <c r="Y21" i="20"/>
  <c r="T48" i="23"/>
  <c r="T90" i="23" s="1"/>
  <c r="T92" i="23" s="1"/>
  <c r="T69" i="23"/>
  <c r="T70" i="23" s="1"/>
  <c r="J258" i="31"/>
  <c r="J536" i="31" s="1"/>
  <c r="T41" i="23"/>
  <c r="F613" i="31"/>
  <c r="U12" i="20"/>
  <c r="U15" i="20" s="1"/>
  <c r="S53" i="42"/>
  <c r="R23" i="20"/>
  <c r="O12" i="20"/>
  <c r="O15" i="20" s="1"/>
  <c r="P56" i="23"/>
  <c r="T15" i="26"/>
  <c r="T63" i="23"/>
  <c r="D508" i="31"/>
  <c r="T103" i="23"/>
  <c r="P39" i="42"/>
  <c r="E123" i="31" s="1"/>
  <c r="S103" i="23"/>
  <c r="O21" i="20"/>
  <c r="P23" i="20"/>
  <c r="R88" i="23"/>
  <c r="R37" i="42" s="1"/>
  <c r="G121" i="31" s="1"/>
  <c r="P59" i="23"/>
  <c r="F640" i="31"/>
  <c r="T20" i="23"/>
  <c r="T31" i="23" s="1"/>
  <c r="D253" i="31"/>
  <c r="N22" i="42"/>
  <c r="P55" i="34"/>
  <c r="J584" i="31" s="1"/>
  <c r="E106" i="31"/>
  <c r="P7" i="20"/>
  <c r="P63" i="20" s="1"/>
  <c r="P65" i="20" s="1"/>
  <c r="T59" i="23"/>
  <c r="V12" i="20"/>
  <c r="V15" i="20" s="1"/>
  <c r="H613" i="31"/>
  <c r="Q23" i="20"/>
  <c r="R30" i="20"/>
  <c r="R59" i="20" s="1"/>
  <c r="K544" i="31" s="1"/>
  <c r="Q49" i="26"/>
  <c r="T49" i="26" s="1"/>
  <c r="X3" i="73"/>
  <c r="X10" i="73" s="1"/>
  <c r="X12" i="73" s="1"/>
  <c r="X13" i="73" s="1"/>
  <c r="N25" i="67"/>
  <c r="V25" i="67"/>
  <c r="O45" i="67"/>
  <c r="F10" i="73"/>
  <c r="F12" i="73" s="1"/>
  <c r="F13" i="73" s="1"/>
  <c r="G12" i="73"/>
  <c r="G13" i="73" s="1"/>
  <c r="G14" i="73" s="1"/>
  <c r="J10" i="73"/>
  <c r="J12" i="73" s="1"/>
  <c r="J13" i="73" s="1"/>
  <c r="P30" i="20"/>
  <c r="P59" i="20" s="1"/>
  <c r="I544" i="31" s="1"/>
  <c r="Q30" i="20"/>
  <c r="Q59" i="20" s="1"/>
  <c r="J544" i="31" s="1"/>
  <c r="S30" i="20"/>
  <c r="S59" i="20" s="1"/>
  <c r="L544" i="31" s="1"/>
  <c r="O30" i="20"/>
  <c r="Q54" i="67"/>
  <c r="O53" i="42"/>
  <c r="O79" i="42"/>
  <c r="O89" i="42"/>
  <c r="O97" i="42" s="1"/>
  <c r="D583" i="31" s="1"/>
  <c r="D613" i="31"/>
  <c r="G113" i="31"/>
  <c r="G253" i="31"/>
  <c r="G508" i="31"/>
  <c r="T55" i="42"/>
  <c r="T79" i="42"/>
  <c r="T53" i="42"/>
  <c r="Q59" i="23"/>
  <c r="P63" i="23"/>
  <c r="P8" i="42" s="1"/>
  <c r="T20" i="42"/>
  <c r="R40" i="20"/>
  <c r="I291" i="31"/>
  <c r="O7" i="20"/>
  <c r="O63" i="20" s="1"/>
  <c r="O65" i="20" s="1"/>
  <c r="Q20" i="23"/>
  <c r="Q31" i="23" s="1"/>
  <c r="E613" i="31"/>
  <c r="T29" i="42"/>
  <c r="P53" i="42"/>
  <c r="R7" i="20"/>
  <c r="R63" i="20" s="1"/>
  <c r="G639" i="31"/>
  <c r="G95" i="31"/>
  <c r="O40" i="20"/>
  <c r="U18" i="20"/>
  <c r="U21" i="20" s="1"/>
  <c r="R20" i="23"/>
  <c r="R31" i="23" s="1"/>
  <c r="S13" i="42"/>
  <c r="H96" i="31" s="1"/>
  <c r="T13" i="42"/>
  <c r="I96" i="31" s="1"/>
  <c r="T93" i="42"/>
  <c r="S23" i="20"/>
  <c r="R13" i="42"/>
  <c r="G96" i="31" s="1"/>
  <c r="R20" i="42"/>
  <c r="R50" i="42" s="1"/>
  <c r="V15" i="67"/>
  <c r="S53" i="34"/>
  <c r="T25" i="34"/>
  <c r="M223" i="31"/>
  <c r="S18" i="34"/>
  <c r="S43" i="34" s="1"/>
  <c r="S12" i="34"/>
  <c r="Q53" i="34"/>
  <c r="K574" i="31" s="1"/>
  <c r="T25" i="23"/>
  <c r="T88" i="23" s="1"/>
  <c r="T37" i="42" s="1"/>
  <c r="I121" i="31" s="1"/>
  <c r="J121" i="31" s="1"/>
  <c r="K121" i="31" s="1"/>
  <c r="L121" i="31" s="1"/>
  <c r="M121" i="31" s="1"/>
  <c r="S50" i="42"/>
  <c r="R30" i="23"/>
  <c r="S18" i="42"/>
  <c r="H101" i="31" s="1"/>
  <c r="Q44" i="23"/>
  <c r="S70" i="42"/>
  <c r="H543" i="31" s="1"/>
  <c r="H220" i="31"/>
  <c r="S26" i="42"/>
  <c r="H109" i="31" s="1"/>
  <c r="Q18" i="34"/>
  <c r="Q43" i="34" s="1"/>
  <c r="K223" i="31"/>
  <c r="Q25" i="23"/>
  <c r="S25" i="23"/>
  <c r="S88" i="23" s="1"/>
  <c r="S37" i="42" s="1"/>
  <c r="H121" i="31" s="1"/>
  <c r="S94" i="42"/>
  <c r="R25" i="34"/>
  <c r="H100" i="31"/>
  <c r="I223" i="31"/>
  <c r="I224" i="31" s="1"/>
  <c r="P25" i="34"/>
  <c r="D667" i="31"/>
  <c r="S30" i="23"/>
  <c r="R44" i="23"/>
  <c r="R96" i="23"/>
  <c r="J223" i="31"/>
  <c r="R11" i="23"/>
  <c r="T96" i="23"/>
  <c r="T18" i="34"/>
  <c r="T17" i="42"/>
  <c r="T62" i="42" s="1"/>
  <c r="T9" i="34"/>
  <c r="T10" i="34" s="1"/>
  <c r="T47" i="34" s="1"/>
  <c r="T44" i="23"/>
  <c r="T53" i="34"/>
  <c r="Q26" i="42"/>
  <c r="F109" i="31" s="1"/>
  <c r="F100" i="31"/>
  <c r="T11" i="23"/>
  <c r="O18" i="34"/>
  <c r="O43" i="34" s="1"/>
  <c r="Q70" i="42"/>
  <c r="F573" i="31" s="1"/>
  <c r="R28" i="23"/>
  <c r="S44" i="23"/>
  <c r="F220" i="31"/>
  <c r="T30" i="23"/>
  <c r="Q94" i="42"/>
  <c r="S11" i="23"/>
  <c r="S96" i="23"/>
  <c r="S67" i="42" s="1"/>
  <c r="H563" i="31" s="1"/>
  <c r="O53" i="34"/>
  <c r="I574" i="31" s="1"/>
  <c r="D100" i="31"/>
  <c r="O70" i="42"/>
  <c r="D543" i="31" s="1"/>
  <c r="D220" i="31"/>
  <c r="O18" i="42"/>
  <c r="D101" i="31" s="1"/>
  <c r="O15" i="42"/>
  <c r="D98" i="31" s="1"/>
  <c r="E100" i="31"/>
  <c r="P70" i="42"/>
  <c r="E573" i="31" s="1"/>
  <c r="E220" i="31"/>
  <c r="P94" i="42"/>
  <c r="P26" i="42"/>
  <c r="E109" i="31" s="1"/>
  <c r="P50" i="42"/>
  <c r="P18" i="42"/>
  <c r="E101" i="31" s="1"/>
  <c r="O44" i="23"/>
  <c r="P18" i="34"/>
  <c r="Q9" i="34"/>
  <c r="Q10" i="34" s="1"/>
  <c r="Q47" i="34" s="1"/>
  <c r="P30" i="23"/>
  <c r="O25" i="23"/>
  <c r="O88" i="23" s="1"/>
  <c r="O37" i="42" s="1"/>
  <c r="D121" i="31" s="1"/>
  <c r="P9" i="34"/>
  <c r="P10" i="34" s="1"/>
  <c r="P47" i="34" s="1"/>
  <c r="Q25" i="34"/>
  <c r="P53" i="34"/>
  <c r="J574" i="31" s="1"/>
  <c r="H44" i="23"/>
  <c r="H14" i="23"/>
  <c r="H13" i="23"/>
  <c r="H25" i="23"/>
  <c r="R70" i="42"/>
  <c r="R94" i="42"/>
  <c r="R26" i="42"/>
  <c r="G109" i="31" s="1"/>
  <c r="R18" i="42"/>
  <c r="G101" i="31" s="1"/>
  <c r="G220" i="31"/>
  <c r="G100" i="31"/>
  <c r="P88" i="23"/>
  <c r="P37" i="42" s="1"/>
  <c r="E121" i="31" s="1"/>
  <c r="P28" i="23"/>
  <c r="P96" i="23"/>
  <c r="S25" i="34"/>
  <c r="P44" i="23"/>
  <c r="S9" i="34"/>
  <c r="S10" i="34" s="1"/>
  <c r="S47" i="34" s="1"/>
  <c r="P11" i="23"/>
  <c r="O94" i="42"/>
  <c r="R9" i="34"/>
  <c r="R10" i="34" s="1"/>
  <c r="R47" i="34" s="1"/>
  <c r="Q30" i="23"/>
  <c r="Q11" i="23"/>
  <c r="L223" i="31"/>
  <c r="R53" i="34"/>
  <c r="L574" i="31" s="1"/>
  <c r="R18" i="34"/>
  <c r="Q28" i="36"/>
  <c r="Q30" i="36" s="1"/>
  <c r="Q95" i="36"/>
  <c r="Y21" i="67"/>
  <c r="R54" i="67"/>
  <c r="P11" i="67"/>
  <c r="H11" i="67"/>
  <c r="K11" i="67"/>
  <c r="L57" i="67"/>
  <c r="O13" i="67"/>
  <c r="O15" i="67" s="1"/>
  <c r="M15" i="67"/>
  <c r="U15" i="67"/>
  <c r="K15" i="67"/>
  <c r="H15" i="67"/>
  <c r="U54" i="67"/>
  <c r="R11" i="67"/>
  <c r="J11" i="67"/>
  <c r="AA15" i="67"/>
  <c r="S15" i="67"/>
  <c r="G15" i="67"/>
  <c r="W15" i="67"/>
  <c r="G11" i="67"/>
  <c r="O82" i="36"/>
  <c r="O88" i="36" s="1"/>
  <c r="O92" i="36" s="1"/>
  <c r="X15" i="67"/>
  <c r="P15" i="67"/>
  <c r="Z11" i="67"/>
  <c r="Q11" i="67"/>
  <c r="V74" i="36"/>
  <c r="V76" i="36" s="1"/>
  <c r="X54" i="67"/>
  <c r="M54" i="67"/>
  <c r="M58" i="67" s="1"/>
  <c r="X11" i="67"/>
  <c r="O11" i="67"/>
  <c r="M67" i="36"/>
  <c r="M69" i="36" s="1"/>
  <c r="M74" i="36" s="1"/>
  <c r="M76" i="36" s="1"/>
  <c r="W11" i="67"/>
  <c r="I86" i="36"/>
  <c r="O90" i="36"/>
  <c r="O25" i="36" s="1"/>
  <c r="O24" i="36"/>
  <c r="P28" i="36"/>
  <c r="P30" i="36" s="1"/>
  <c r="P95" i="36"/>
  <c r="M28" i="36"/>
  <c r="M30" i="36" s="1"/>
  <c r="M95" i="36"/>
  <c r="O84" i="36"/>
  <c r="O86" i="36" s="1"/>
  <c r="AA32" i="67"/>
  <c r="J55" i="67"/>
  <c r="J58" i="67" s="1"/>
  <c r="J21" i="67"/>
  <c r="J25" i="67"/>
  <c r="N11" i="67"/>
  <c r="U11" i="67"/>
  <c r="M11" i="67"/>
  <c r="K54" i="67"/>
  <c r="P81" i="36"/>
  <c r="P82" i="36" s="1"/>
  <c r="P88" i="36" s="1"/>
  <c r="P92" i="36" s="1"/>
  <c r="P102" i="36" s="1"/>
  <c r="AA63" i="67"/>
  <c r="AA65" i="67" s="1"/>
  <c r="AA71" i="67" s="1"/>
  <c r="S63" i="67"/>
  <c r="S65" i="67" s="1"/>
  <c r="S71" i="67" s="1"/>
  <c r="J63" i="67"/>
  <c r="J65" i="67" s="1"/>
  <c r="I63" i="67"/>
  <c r="I65" i="67" s="1"/>
  <c r="V47" i="67"/>
  <c r="V51" i="67" s="1"/>
  <c r="J66" i="67"/>
  <c r="Y71" i="67"/>
  <c r="Q71" i="67"/>
  <c r="I11" i="67"/>
  <c r="P71" i="67"/>
  <c r="AA11" i="67"/>
  <c r="Y11" i="67"/>
  <c r="N71" i="67"/>
  <c r="F15" i="67"/>
  <c r="S54" i="67"/>
  <c r="V54" i="67"/>
  <c r="V11" i="67"/>
  <c r="X25" i="67"/>
  <c r="R21" i="67"/>
  <c r="X21" i="67"/>
  <c r="I88" i="36"/>
  <c r="G63" i="67"/>
  <c r="G65" i="67" s="1"/>
  <c r="G71" i="67" s="1"/>
  <c r="L54" i="67"/>
  <c r="O63" i="67"/>
  <c r="O65" i="67" s="1"/>
  <c r="O71" i="67" s="1"/>
  <c r="S11" i="67"/>
  <c r="W74" i="36"/>
  <c r="W76" i="36" s="1"/>
  <c r="M62" i="67"/>
  <c r="I15" i="67"/>
  <c r="I21" i="67"/>
  <c r="I25" i="67"/>
  <c r="Q15" i="67"/>
  <c r="Y15" i="67"/>
  <c r="T74" i="36"/>
  <c r="T76" i="36" s="1"/>
  <c r="W63" i="67"/>
  <c r="W65" i="67" s="1"/>
  <c r="W71" i="67" s="1"/>
  <c r="V71" i="67"/>
  <c r="M47" i="67"/>
  <c r="M51" i="67" s="1"/>
  <c r="N13" i="67"/>
  <c r="N15" i="67" s="1"/>
  <c r="U71" i="67"/>
  <c r="H71" i="67"/>
  <c r="F71" i="67"/>
  <c r="Z71" i="67"/>
  <c r="R71" i="67"/>
  <c r="F9" i="67"/>
  <c r="F11" i="67" s="1"/>
  <c r="K71" i="67"/>
  <c r="I60" i="67"/>
  <c r="T54" i="67"/>
  <c r="Z15" i="67"/>
  <c r="R15" i="67"/>
  <c r="J15" i="67"/>
  <c r="T9" i="67"/>
  <c r="T11" i="67" s="1"/>
  <c r="I66" i="67"/>
  <c r="F28" i="36"/>
  <c r="F30" i="36" s="1"/>
  <c r="F95" i="36"/>
  <c r="G81" i="36"/>
  <c r="G82" i="36" s="1"/>
  <c r="G88" i="36" s="1"/>
  <c r="G23" i="36" s="1"/>
  <c r="G27" i="36" s="1"/>
  <c r="G31" i="36" s="1"/>
  <c r="G32" i="36" s="1"/>
  <c r="F89" i="36"/>
  <c r="F82" i="36"/>
  <c r="F88" i="36" s="1"/>
  <c r="F23" i="36" s="1"/>
  <c r="F27" i="36" s="1"/>
  <c r="F21" i="67"/>
  <c r="F25" i="67"/>
  <c r="F47" i="67"/>
  <c r="F51" i="67" s="1"/>
  <c r="X71" i="67"/>
  <c r="L28" i="36"/>
  <c r="L30" i="36" s="1"/>
  <c r="I24" i="36"/>
  <c r="T15" i="67"/>
  <c r="L15" i="67"/>
  <c r="L55" i="67"/>
  <c r="O67" i="36"/>
  <c r="O69" i="36" s="1"/>
  <c r="O74" i="36" s="1"/>
  <c r="O76" i="36" s="1"/>
  <c r="W54" i="67"/>
  <c r="O54" i="67"/>
  <c r="G54" i="67"/>
  <c r="G58" i="67" s="1"/>
  <c r="K51" i="67"/>
  <c r="L76" i="36"/>
  <c r="U74" i="36"/>
  <c r="U76" i="36" s="1"/>
  <c r="T63" i="67"/>
  <c r="T65" i="67" s="1"/>
  <c r="T71" i="67" s="1"/>
  <c r="L63" i="67"/>
  <c r="L65" i="67" s="1"/>
  <c r="L71" i="67" s="1"/>
  <c r="L11" i="67"/>
  <c r="I55" i="67"/>
  <c r="I58" i="67" s="1"/>
  <c r="L47" i="67"/>
  <c r="L51" i="67" s="1"/>
  <c r="H55" i="67"/>
  <c r="H58" i="67" s="1"/>
  <c r="J47" i="67"/>
  <c r="J51" i="67" s="1"/>
  <c r="F55" i="67"/>
  <c r="F58" i="67" s="1"/>
  <c r="I47" i="67"/>
  <c r="I51" i="67" s="1"/>
  <c r="H47" i="67"/>
  <c r="H51" i="67" s="1"/>
  <c r="G47" i="67"/>
  <c r="G51" i="67" s="1"/>
  <c r="K55" i="67"/>
  <c r="U28" i="36"/>
  <c r="U30" i="36" s="1"/>
  <c r="U95" i="36"/>
  <c r="T95" i="36"/>
  <c r="T28" i="36"/>
  <c r="T30" i="36" s="1"/>
  <c r="X95" i="36"/>
  <c r="X28" i="36"/>
  <c r="X30" i="36" s="1"/>
  <c r="J76" i="36"/>
  <c r="H95" i="36"/>
  <c r="G76" i="36"/>
  <c r="K76" i="36"/>
  <c r="I76" i="36"/>
  <c r="X74" i="36"/>
  <c r="X76" i="36" s="1"/>
  <c r="T47" i="67"/>
  <c r="T51" i="67" s="1"/>
  <c r="S21" i="67"/>
  <c r="U47" i="67"/>
  <c r="U51" i="67" s="1"/>
  <c r="Q47" i="67"/>
  <c r="Q51" i="67" s="1"/>
  <c r="U21" i="67"/>
  <c r="N47" i="67"/>
  <c r="N51" i="67" s="1"/>
  <c r="P55" i="67"/>
  <c r="P58" i="67" s="1"/>
  <c r="O47" i="67"/>
  <c r="S47" i="67"/>
  <c r="S51" i="67" s="1"/>
  <c r="F28" i="67"/>
  <c r="X33" i="67"/>
  <c r="P33" i="67"/>
  <c r="H33" i="67"/>
  <c r="M32" i="67"/>
  <c r="M34" i="67" s="1"/>
  <c r="Z30" i="67"/>
  <c r="R30" i="67"/>
  <c r="J30" i="67"/>
  <c r="X29" i="67"/>
  <c r="P29" i="67"/>
  <c r="H29" i="67"/>
  <c r="U28" i="67"/>
  <c r="L28" i="67"/>
  <c r="W33" i="67"/>
  <c r="O33" i="67"/>
  <c r="G33" i="67"/>
  <c r="L32" i="67"/>
  <c r="Y30" i="67"/>
  <c r="Q30" i="67"/>
  <c r="I30" i="67"/>
  <c r="W29" i="67"/>
  <c r="O29" i="67"/>
  <c r="G29" i="67"/>
  <c r="T28" i="67"/>
  <c r="K28" i="67"/>
  <c r="F30" i="67"/>
  <c r="F29" i="67"/>
  <c r="V33" i="67"/>
  <c r="N33" i="67"/>
  <c r="X30" i="67"/>
  <c r="P30" i="67"/>
  <c r="H30" i="67"/>
  <c r="V29" i="67"/>
  <c r="N29" i="67"/>
  <c r="AA28" i="67"/>
  <c r="S28" i="67"/>
  <c r="J28" i="67"/>
  <c r="F32" i="67"/>
  <c r="J32" i="67"/>
  <c r="W30" i="67"/>
  <c r="O30" i="67"/>
  <c r="G30" i="67"/>
  <c r="U29" i="67"/>
  <c r="M29" i="67"/>
  <c r="Z28" i="67"/>
  <c r="R28" i="67"/>
  <c r="I28" i="67"/>
  <c r="F33" i="67"/>
  <c r="T33" i="67"/>
  <c r="L33" i="67"/>
  <c r="I32" i="67"/>
  <c r="V30" i="67"/>
  <c r="N30" i="67"/>
  <c r="T29" i="67"/>
  <c r="L29" i="67"/>
  <c r="Y28" i="67"/>
  <c r="Q28" i="67"/>
  <c r="H28" i="67"/>
  <c r="AA33" i="67"/>
  <c r="S33" i="67"/>
  <c r="P32" i="67"/>
  <c r="H32" i="67"/>
  <c r="AA29" i="67"/>
  <c r="S29" i="67"/>
  <c r="K29" i="67"/>
  <c r="X28" i="67"/>
  <c r="P28" i="67"/>
  <c r="G28" i="67"/>
  <c r="Z33" i="67"/>
  <c r="R33" i="67"/>
  <c r="J33" i="67"/>
  <c r="O32" i="67"/>
  <c r="G32" i="67"/>
  <c r="T30" i="67"/>
  <c r="L30" i="67"/>
  <c r="Z29" i="67"/>
  <c r="R29" i="67"/>
  <c r="J29" i="67"/>
  <c r="W28" i="67"/>
  <c r="O28" i="67"/>
  <c r="Y33" i="67"/>
  <c r="I33" i="67"/>
  <c r="N32" i="67"/>
  <c r="AA30" i="67"/>
  <c r="S30" i="67"/>
  <c r="K30" i="67"/>
  <c r="Y29" i="67"/>
  <c r="Q29" i="67"/>
  <c r="I29" i="67"/>
  <c r="V28" i="67"/>
  <c r="N28" i="67"/>
  <c r="R28" i="36"/>
  <c r="R30" i="36" s="1"/>
  <c r="R95" i="36"/>
  <c r="J28" i="36"/>
  <c r="J30" i="36" s="1"/>
  <c r="J95" i="36"/>
  <c r="K95" i="36"/>
  <c r="K28" i="36"/>
  <c r="K30" i="36" s="1"/>
  <c r="V95" i="36"/>
  <c r="V28" i="36"/>
  <c r="V30" i="36" s="1"/>
  <c r="G95" i="36"/>
  <c r="I28" i="36"/>
  <c r="I30" i="36" s="1"/>
  <c r="W95" i="36"/>
  <c r="S28" i="36"/>
  <c r="S30" i="36" s="1"/>
  <c r="H76" i="36"/>
  <c r="Q65" i="36"/>
  <c r="R65" i="36" s="1"/>
  <c r="P67" i="36"/>
  <c r="P69" i="36" s="1"/>
  <c r="P74" i="36" s="1"/>
  <c r="P76" i="36" s="1"/>
  <c r="K81" i="36"/>
  <c r="J82" i="36"/>
  <c r="J89" i="36"/>
  <c r="O28" i="36"/>
  <c r="O30" i="36" s="1"/>
  <c r="Z21" i="67" l="1"/>
  <c r="Z23" i="67" s="1"/>
  <c r="Q65" i="20"/>
  <c r="F257" i="31"/>
  <c r="T56" i="23"/>
  <c r="T67" i="20"/>
  <c r="T50" i="23"/>
  <c r="Q33" i="23"/>
  <c r="S67" i="20"/>
  <c r="Q106" i="23"/>
  <c r="O50" i="42"/>
  <c r="O39" i="42"/>
  <c r="D123" i="31" s="1"/>
  <c r="N123" i="31" s="1"/>
  <c r="O22" i="42"/>
  <c r="O24" i="42" s="1"/>
  <c r="P106" i="23"/>
  <c r="S33" i="23"/>
  <c r="S15" i="42"/>
  <c r="H98" i="31" s="1"/>
  <c r="W32" i="67"/>
  <c r="W34" i="67" s="1"/>
  <c r="X32" i="67"/>
  <c r="X34" i="67" s="1"/>
  <c r="Y32" i="67"/>
  <c r="Y34" i="67" s="1"/>
  <c r="R32" i="67"/>
  <c r="R34" i="67" s="1"/>
  <c r="Z32" i="67"/>
  <c r="Z34" i="67" s="1"/>
  <c r="S32" i="67"/>
  <c r="S34" i="67" s="1"/>
  <c r="T32" i="67"/>
  <c r="T34" i="67" s="1"/>
  <c r="U32" i="67"/>
  <c r="U34" i="67" s="1"/>
  <c r="V32" i="67"/>
  <c r="V34" i="67" s="1"/>
  <c r="S23" i="34"/>
  <c r="Q90" i="42"/>
  <c r="G626" i="31"/>
  <c r="G629" i="31" s="1"/>
  <c r="H258" i="31"/>
  <c r="H536" i="31" s="1"/>
  <c r="Q50" i="42"/>
  <c r="T23" i="34"/>
  <c r="S97" i="42"/>
  <c r="H583" i="31" s="1"/>
  <c r="I257" i="31"/>
  <c r="I259" i="31" s="1"/>
  <c r="I263" i="31" s="1"/>
  <c r="P33" i="23"/>
  <c r="S56" i="23"/>
  <c r="S90" i="23"/>
  <c r="S92" i="23" s="1"/>
  <c r="P15" i="42"/>
  <c r="E98" i="31" s="1"/>
  <c r="G651" i="31"/>
  <c r="G654" i="31" s="1"/>
  <c r="P24" i="42"/>
  <c r="P28" i="42" s="1"/>
  <c r="P30" i="42" s="1"/>
  <c r="S77" i="42"/>
  <c r="S39" i="42"/>
  <c r="H123" i="31" s="1"/>
  <c r="O25" i="67"/>
  <c r="P90" i="42"/>
  <c r="F616" i="31"/>
  <c r="F628" i="31" s="1"/>
  <c r="S90" i="42"/>
  <c r="S69" i="23"/>
  <c r="S70" i="23" s="1"/>
  <c r="H642" i="31"/>
  <c r="H652" i="31" s="1"/>
  <c r="E642" i="31"/>
  <c r="F651" i="31" s="1"/>
  <c r="F654" i="31" s="1"/>
  <c r="P97" i="42"/>
  <c r="E583" i="31" s="1"/>
  <c r="R97" i="42"/>
  <c r="G583" i="31" s="1"/>
  <c r="R48" i="23"/>
  <c r="R56" i="23" s="1"/>
  <c r="E113" i="31"/>
  <c r="E253" i="31"/>
  <c r="E508" i="31"/>
  <c r="H113" i="31"/>
  <c r="H253" i="31"/>
  <c r="Q15" i="42"/>
  <c r="F98" i="31" s="1"/>
  <c r="P23" i="34"/>
  <c r="Q23" i="34"/>
  <c r="G564" i="31"/>
  <c r="F103" i="31"/>
  <c r="Q22" i="42"/>
  <c r="G257" i="31"/>
  <c r="G535" i="31" s="1"/>
  <c r="T89" i="42"/>
  <c r="I613" i="31"/>
  <c r="T33" i="23"/>
  <c r="Q90" i="23"/>
  <c r="Q92" i="23" s="1"/>
  <c r="E628" i="31"/>
  <c r="S24" i="42"/>
  <c r="H105" i="31"/>
  <c r="O48" i="23"/>
  <c r="E258" i="31"/>
  <c r="E536" i="31" s="1"/>
  <c r="P69" i="23"/>
  <c r="O69" i="23"/>
  <c r="E564" i="31"/>
  <c r="R15" i="42"/>
  <c r="G98" i="31" s="1"/>
  <c r="E626" i="31"/>
  <c r="E629" i="31" s="1"/>
  <c r="R33" i="23"/>
  <c r="R23" i="34"/>
  <c r="G627" i="31"/>
  <c r="J257" i="31"/>
  <c r="J259" i="31" s="1"/>
  <c r="J263" i="31" s="1"/>
  <c r="J264" i="31" s="1"/>
  <c r="T106" i="23"/>
  <c r="J642" i="31"/>
  <c r="H627" i="31"/>
  <c r="P67" i="20"/>
  <c r="H626" i="31"/>
  <c r="H629" i="31" s="1"/>
  <c r="J122" i="31"/>
  <c r="T8" i="42"/>
  <c r="S106" i="23"/>
  <c r="I642" i="31"/>
  <c r="F259" i="31"/>
  <c r="F263" i="31" s="1"/>
  <c r="F535" i="31"/>
  <c r="S42" i="42"/>
  <c r="AA21" i="67"/>
  <c r="AA23" i="67" s="1"/>
  <c r="Z55" i="67"/>
  <c r="Z58" i="67" s="1"/>
  <c r="O51" i="67"/>
  <c r="M28" i="67"/>
  <c r="M31" i="67" s="1"/>
  <c r="M35" i="67" s="1"/>
  <c r="K26" i="67"/>
  <c r="J26" i="67"/>
  <c r="K9" i="73"/>
  <c r="K10" i="73" s="1"/>
  <c r="K12" i="73" s="1"/>
  <c r="K13" i="73" s="1"/>
  <c r="F14" i="73"/>
  <c r="J14" i="73"/>
  <c r="L9" i="73"/>
  <c r="L10" i="73" s="1"/>
  <c r="L12" i="73" s="1"/>
  <c r="L13" i="73" s="1"/>
  <c r="AA34" i="67"/>
  <c r="Q81" i="36"/>
  <c r="Q82" i="36" s="1"/>
  <c r="Q88" i="36" s="1"/>
  <c r="Q92" i="36" s="1"/>
  <c r="K23" i="67"/>
  <c r="X23" i="67"/>
  <c r="M23" i="67"/>
  <c r="F92" i="36"/>
  <c r="F96" i="36" s="1"/>
  <c r="T25" i="67"/>
  <c r="L58" i="67"/>
  <c r="L74" i="67" s="1"/>
  <c r="I508" i="31"/>
  <c r="I113" i="31"/>
  <c r="I253" i="31"/>
  <c r="G103" i="31"/>
  <c r="R22" i="42"/>
  <c r="R39" i="42"/>
  <c r="G123" i="31" s="1"/>
  <c r="R90" i="42"/>
  <c r="T39" i="42"/>
  <c r="I123" i="31" s="1"/>
  <c r="T22" i="42"/>
  <c r="I103" i="31"/>
  <c r="T77" i="42"/>
  <c r="R67" i="20"/>
  <c r="R65" i="20"/>
  <c r="G652" i="31"/>
  <c r="G653" i="31"/>
  <c r="S49" i="34"/>
  <c r="O90" i="42"/>
  <c r="D616" i="31"/>
  <c r="D626" i="31" s="1"/>
  <c r="D629" i="31" s="1"/>
  <c r="H23" i="67"/>
  <c r="H34" i="67"/>
  <c r="U23" i="67"/>
  <c r="Q49" i="34"/>
  <c r="I564" i="31"/>
  <c r="K224" i="31"/>
  <c r="I220" i="31"/>
  <c r="I221" i="31" s="1"/>
  <c r="H573" i="31"/>
  <c r="T28" i="23"/>
  <c r="S28" i="23"/>
  <c r="Q88" i="23"/>
  <c r="Q37" i="42" s="1"/>
  <c r="F121" i="31" s="1"/>
  <c r="Q28" i="23"/>
  <c r="D573" i="31"/>
  <c r="E543" i="31"/>
  <c r="J224" i="31"/>
  <c r="T94" i="42"/>
  <c r="R67" i="42"/>
  <c r="G563" i="31" s="1"/>
  <c r="H564" i="31"/>
  <c r="I100" i="31"/>
  <c r="T50" i="42"/>
  <c r="O28" i="23"/>
  <c r="T18" i="42"/>
  <c r="I101" i="31" s="1"/>
  <c r="F543" i="31"/>
  <c r="T70" i="42"/>
  <c r="T26" i="42"/>
  <c r="I109" i="31" s="1"/>
  <c r="T19" i="34"/>
  <c r="T43" i="34"/>
  <c r="T67" i="42"/>
  <c r="I563" i="31" s="1"/>
  <c r="J564" i="31"/>
  <c r="F221" i="31"/>
  <c r="E221" i="31"/>
  <c r="Q19" i="34"/>
  <c r="P19" i="34"/>
  <c r="P43" i="34"/>
  <c r="P49" i="34" s="1"/>
  <c r="H221" i="31"/>
  <c r="G221" i="31"/>
  <c r="M224" i="31"/>
  <c r="L224" i="31"/>
  <c r="F564" i="31"/>
  <c r="P67" i="42"/>
  <c r="E563" i="31" s="1"/>
  <c r="G573" i="31"/>
  <c r="G543" i="31"/>
  <c r="R19" i="34"/>
  <c r="S19" i="34"/>
  <c r="R43" i="34"/>
  <c r="S55" i="67"/>
  <c r="S58" i="67" s="1"/>
  <c r="S74" i="67" s="1"/>
  <c r="G23" i="67"/>
  <c r="P34" i="67"/>
  <c r="W21" i="67"/>
  <c r="W23" i="67" s="1"/>
  <c r="L23" i="67"/>
  <c r="G74" i="67"/>
  <c r="J71" i="67"/>
  <c r="J74" i="67" s="1"/>
  <c r="P84" i="36"/>
  <c r="P86" i="36" s="1"/>
  <c r="P89" i="36"/>
  <c r="P90" i="36" s="1"/>
  <c r="P25" i="36" s="1"/>
  <c r="S23" i="67"/>
  <c r="P23" i="36"/>
  <c r="P27" i="36" s="1"/>
  <c r="P31" i="36" s="1"/>
  <c r="P32" i="36" s="1"/>
  <c r="P77" i="36" s="1"/>
  <c r="Y23" i="67"/>
  <c r="N34" i="67"/>
  <c r="O23" i="36"/>
  <c r="O27" i="36" s="1"/>
  <c r="O31" i="36" s="1"/>
  <c r="O32" i="36" s="1"/>
  <c r="O77" i="36" s="1"/>
  <c r="O102" i="36"/>
  <c r="O104" i="36" s="1"/>
  <c r="O96" i="36"/>
  <c r="R23" i="67"/>
  <c r="I23" i="67"/>
  <c r="K31" i="67"/>
  <c r="P96" i="36"/>
  <c r="G34" i="67"/>
  <c r="G84" i="36"/>
  <c r="G86" i="36" s="1"/>
  <c r="AA31" i="67"/>
  <c r="U31" i="67"/>
  <c r="L31" i="67"/>
  <c r="H31" i="67"/>
  <c r="F31" i="67"/>
  <c r="S31" i="67"/>
  <c r="K58" i="67"/>
  <c r="K74" i="67" s="1"/>
  <c r="J23" i="67"/>
  <c r="T31" i="67"/>
  <c r="R31" i="67"/>
  <c r="F31" i="36"/>
  <c r="F32" i="36" s="1"/>
  <c r="F77" i="36" s="1"/>
  <c r="G77" i="36"/>
  <c r="O34" i="67"/>
  <c r="V55" i="67"/>
  <c r="V58" i="67" s="1"/>
  <c r="V74" i="67" s="1"/>
  <c r="H74" i="67"/>
  <c r="F23" i="67"/>
  <c r="N31" i="67"/>
  <c r="W31" i="67"/>
  <c r="Q31" i="67"/>
  <c r="P31" i="67"/>
  <c r="I71" i="67"/>
  <c r="I74" i="67" s="1"/>
  <c r="V31" i="67"/>
  <c r="F34" i="67"/>
  <c r="Y31" i="67"/>
  <c r="Z31" i="67"/>
  <c r="H81" i="36"/>
  <c r="I23" i="36"/>
  <c r="I27" i="36" s="1"/>
  <c r="I31" i="36" s="1"/>
  <c r="I32" i="36" s="1"/>
  <c r="I77" i="36" s="1"/>
  <c r="I92" i="36"/>
  <c r="X31" i="67"/>
  <c r="G89" i="36"/>
  <c r="G24" i="36" s="1"/>
  <c r="G92" i="36"/>
  <c r="G102" i="36" s="1"/>
  <c r="G31" i="67"/>
  <c r="J31" i="67"/>
  <c r="M63" i="67"/>
  <c r="M65" i="67" s="1"/>
  <c r="M71" i="67" s="1"/>
  <c r="M74" i="67" s="1"/>
  <c r="O31" i="67"/>
  <c r="I31" i="67"/>
  <c r="F74" i="67"/>
  <c r="Q33" i="67"/>
  <c r="Q34" i="67" s="1"/>
  <c r="J34" i="67"/>
  <c r="F84" i="36"/>
  <c r="F86" i="36" s="1"/>
  <c r="F90" i="36"/>
  <c r="F25" i="36" s="1"/>
  <c r="F24" i="36"/>
  <c r="I34" i="67"/>
  <c r="L34" i="67"/>
  <c r="K33" i="67"/>
  <c r="K34" i="67" s="1"/>
  <c r="AA47" i="67"/>
  <c r="AA51" i="67" s="1"/>
  <c r="AA25" i="67"/>
  <c r="R47" i="67"/>
  <c r="R51" i="67" s="1"/>
  <c r="Z47" i="67"/>
  <c r="Z51" i="67" s="1"/>
  <c r="R25" i="67"/>
  <c r="Y47" i="67"/>
  <c r="Y51" i="67" s="1"/>
  <c r="K89" i="36"/>
  <c r="L81" i="36"/>
  <c r="K82" i="36"/>
  <c r="K88" i="36" s="1"/>
  <c r="S65" i="36"/>
  <c r="R67" i="36"/>
  <c r="R69" i="36" s="1"/>
  <c r="R74" i="36" s="1"/>
  <c r="R76" i="36" s="1"/>
  <c r="J90" i="36"/>
  <c r="J25" i="36" s="1"/>
  <c r="J24" i="36"/>
  <c r="J88" i="36"/>
  <c r="J84" i="36"/>
  <c r="J86" i="36" s="1"/>
  <c r="Q67" i="36"/>
  <c r="Q69" i="36" s="1"/>
  <c r="Q74" i="36" s="1"/>
  <c r="Q76" i="36" s="1"/>
  <c r="D105" i="31" l="1"/>
  <c r="U35" i="67"/>
  <c r="I535" i="31"/>
  <c r="P91" i="42"/>
  <c r="E603" i="31" s="1"/>
  <c r="P38" i="42"/>
  <c r="E122" i="31" s="1"/>
  <c r="E252" i="31"/>
  <c r="E254" i="31" s="1"/>
  <c r="E262" i="31" s="1"/>
  <c r="E112" i="31"/>
  <c r="E507" i="31"/>
  <c r="E107" i="31"/>
  <c r="F627" i="31"/>
  <c r="E652" i="31"/>
  <c r="E651" i="31"/>
  <c r="E654" i="31" s="1"/>
  <c r="F626" i="31"/>
  <c r="F629" i="31" s="1"/>
  <c r="J535" i="31"/>
  <c r="F653" i="31"/>
  <c r="H651" i="31"/>
  <c r="H654" i="31" s="1"/>
  <c r="E653" i="31"/>
  <c r="H653" i="31"/>
  <c r="F652" i="31"/>
  <c r="R90" i="23"/>
  <c r="R92" i="23" s="1"/>
  <c r="H257" i="31"/>
  <c r="I616" i="31"/>
  <c r="T97" i="42"/>
  <c r="I583" i="31" s="1"/>
  <c r="T90" i="42"/>
  <c r="G259" i="31"/>
  <c r="G263" i="31" s="1"/>
  <c r="Q24" i="42"/>
  <c r="F105" i="31"/>
  <c r="O90" i="23"/>
  <c r="O92" i="23" s="1"/>
  <c r="O56" i="23"/>
  <c r="E257" i="31"/>
  <c r="S28" i="42"/>
  <c r="S91" i="42"/>
  <c r="H603" i="31" s="1"/>
  <c r="S38" i="42"/>
  <c r="H122" i="31" s="1"/>
  <c r="S75" i="42"/>
  <c r="S78" i="42" s="1"/>
  <c r="H107" i="31"/>
  <c r="E290" i="31"/>
  <c r="E114" i="31"/>
  <c r="I652" i="31"/>
  <c r="I651" i="31"/>
  <c r="I654" i="31" s="1"/>
  <c r="I653" i="31"/>
  <c r="J653" i="31"/>
  <c r="J652" i="31"/>
  <c r="J651" i="31"/>
  <c r="J654" i="31" s="1"/>
  <c r="P42" i="42"/>
  <c r="N42" i="42"/>
  <c r="R42" i="42"/>
  <c r="Z74" i="67"/>
  <c r="L26" i="67"/>
  <c r="K14" i="73"/>
  <c r="L14" i="73" s="1"/>
  <c r="M14" i="73" s="1"/>
  <c r="N14" i="73" s="1"/>
  <c r="O14" i="73" s="1"/>
  <c r="P14" i="73" s="1"/>
  <c r="Q14" i="73" s="1"/>
  <c r="R14" i="73" s="1"/>
  <c r="S14" i="73" s="1"/>
  <c r="T14" i="73" s="1"/>
  <c r="U14" i="73" s="1"/>
  <c r="V14" i="73" s="1"/>
  <c r="W14" i="73" s="1"/>
  <c r="X14" i="73" s="1"/>
  <c r="Y14" i="73" s="1"/>
  <c r="Z14" i="73" s="1"/>
  <c r="AA14" i="73" s="1"/>
  <c r="Q42" i="42"/>
  <c r="F102" i="36"/>
  <c r="G103" i="36" s="1"/>
  <c r="Q84" i="36"/>
  <c r="Q86" i="36" s="1"/>
  <c r="Q89" i="36"/>
  <c r="Q90" i="36" s="1"/>
  <c r="Q25" i="36" s="1"/>
  <c r="R81" i="36"/>
  <c r="R89" i="36" s="1"/>
  <c r="Q23" i="36"/>
  <c r="Q27" i="36" s="1"/>
  <c r="Q31" i="36" s="1"/>
  <c r="Q32" i="36" s="1"/>
  <c r="Q77" i="36" s="1"/>
  <c r="AA35" i="67"/>
  <c r="AA37" i="67" s="1"/>
  <c r="M37" i="67"/>
  <c r="O42" i="42"/>
  <c r="T42" i="42"/>
  <c r="T55" i="67"/>
  <c r="T58" i="67" s="1"/>
  <c r="T74" i="67" s="1"/>
  <c r="P24" i="36"/>
  <c r="V35" i="67"/>
  <c r="G90" i="36"/>
  <c r="G25" i="36" s="1"/>
  <c r="P35" i="67"/>
  <c r="O38" i="42"/>
  <c r="D122" i="31" s="1"/>
  <c r="N122" i="31" s="1"/>
  <c r="O28" i="42"/>
  <c r="D107" i="31"/>
  <c r="O91" i="42"/>
  <c r="D603" i="31" s="1"/>
  <c r="D628" i="31"/>
  <c r="D627" i="31"/>
  <c r="T24" i="42"/>
  <c r="I105" i="31"/>
  <c r="R24" i="42"/>
  <c r="G105" i="31"/>
  <c r="H35" i="67"/>
  <c r="H37" i="67" s="1"/>
  <c r="J221" i="31"/>
  <c r="O220" i="31"/>
  <c r="K395" i="31" s="1"/>
  <c r="M317" i="31"/>
  <c r="T45" i="34"/>
  <c r="T49" i="34"/>
  <c r="I573" i="31"/>
  <c r="I543" i="31"/>
  <c r="P45" i="34"/>
  <c r="P51" i="34" s="1"/>
  <c r="Q45" i="34"/>
  <c r="Q51" i="34" s="1"/>
  <c r="R45" i="34"/>
  <c r="S45" i="34"/>
  <c r="S51" i="34" s="1"/>
  <c r="R49" i="34"/>
  <c r="K35" i="67"/>
  <c r="K37" i="67" s="1"/>
  <c r="Y35" i="67"/>
  <c r="Z35" i="67"/>
  <c r="G96" i="36"/>
  <c r="W35" i="67"/>
  <c r="R35" i="67"/>
  <c r="R37" i="67" s="1"/>
  <c r="G35" i="67"/>
  <c r="G37" i="67" s="1"/>
  <c r="X35" i="67"/>
  <c r="X37" i="67" s="1"/>
  <c r="N35" i="67"/>
  <c r="Q35" i="67"/>
  <c r="O35" i="67"/>
  <c r="F35" i="67"/>
  <c r="F37" i="67" s="1"/>
  <c r="F75" i="67" s="1"/>
  <c r="P104" i="36"/>
  <c r="L35" i="67"/>
  <c r="S35" i="67"/>
  <c r="J35" i="67"/>
  <c r="J37" i="67" s="1"/>
  <c r="I35" i="67"/>
  <c r="I37" i="67" s="1"/>
  <c r="T35" i="67"/>
  <c r="H89" i="36"/>
  <c r="H82" i="36"/>
  <c r="I102" i="36"/>
  <c r="I96" i="36"/>
  <c r="W47" i="67"/>
  <c r="W51" i="67" s="1"/>
  <c r="Q21" i="67"/>
  <c r="Q23" i="67" s="1"/>
  <c r="X47" i="67"/>
  <c r="X51" i="67" s="1"/>
  <c r="W25" i="67"/>
  <c r="P21" i="67"/>
  <c r="P23" i="67" s="1"/>
  <c r="S25" i="67"/>
  <c r="U25" i="67"/>
  <c r="Z25" i="67"/>
  <c r="R55" i="67"/>
  <c r="R58" i="67" s="1"/>
  <c r="R74" i="67" s="1"/>
  <c r="P47" i="67"/>
  <c r="P51" i="67" s="1"/>
  <c r="P74" i="67" s="1"/>
  <c r="Y55" i="67"/>
  <c r="Y58" i="67" s="1"/>
  <c r="Y74" i="67" s="1"/>
  <c r="N21" i="67"/>
  <c r="N23" i="67" s="1"/>
  <c r="O21" i="67"/>
  <c r="O23" i="67" s="1"/>
  <c r="N55" i="67"/>
  <c r="N58" i="67" s="1"/>
  <c r="N74" i="67" s="1"/>
  <c r="T21" i="67"/>
  <c r="T23" i="67" s="1"/>
  <c r="Q55" i="67"/>
  <c r="Q58" i="67" s="1"/>
  <c r="Q74" i="67" s="1"/>
  <c r="V21" i="67"/>
  <c r="V23" i="67" s="1"/>
  <c r="K84" i="36"/>
  <c r="K86" i="36" s="1"/>
  <c r="J92" i="36"/>
  <c r="J23" i="36"/>
  <c r="J27" i="36" s="1"/>
  <c r="J31" i="36" s="1"/>
  <c r="J32" i="36" s="1"/>
  <c r="J77" i="36" s="1"/>
  <c r="K90" i="36"/>
  <c r="K25" i="36" s="1"/>
  <c r="K24" i="36"/>
  <c r="K23" i="36"/>
  <c r="K27" i="36" s="1"/>
  <c r="K31" i="36" s="1"/>
  <c r="K32" i="36" s="1"/>
  <c r="K77" i="36" s="1"/>
  <c r="K92" i="36"/>
  <c r="Q102" i="36"/>
  <c r="Q104" i="36" s="1"/>
  <c r="Q96" i="36"/>
  <c r="S67" i="36"/>
  <c r="S69" i="36" s="1"/>
  <c r="S74" i="36" s="1"/>
  <c r="S76" i="36" s="1"/>
  <c r="T65" i="36"/>
  <c r="U65" i="36" s="1"/>
  <c r="V65" i="36" s="1"/>
  <c r="W65" i="36" s="1"/>
  <c r="X65" i="36" s="1"/>
  <c r="M81" i="36"/>
  <c r="L89" i="36"/>
  <c r="L82" i="36"/>
  <c r="L88" i="36" s="1"/>
  <c r="U37" i="67" l="1"/>
  <c r="H535" i="31"/>
  <c r="H259" i="31"/>
  <c r="H263" i="31" s="1"/>
  <c r="F107" i="31"/>
  <c r="Q28" i="42"/>
  <c r="Q91" i="42"/>
  <c r="F603" i="31" s="1"/>
  <c r="Q38" i="42"/>
  <c r="F122" i="31" s="1"/>
  <c r="I628" i="31"/>
  <c r="I627" i="31"/>
  <c r="I626" i="31"/>
  <c r="I629" i="31" s="1"/>
  <c r="E259" i="31"/>
  <c r="E263" i="31" s="1"/>
  <c r="E264" i="31" s="1"/>
  <c r="E535" i="31"/>
  <c r="H112" i="31"/>
  <c r="H252" i="31"/>
  <c r="H254" i="31" s="1"/>
  <c r="H262" i="31" s="1"/>
  <c r="H507" i="31"/>
  <c r="S30" i="42"/>
  <c r="S36" i="20"/>
  <c r="S33" i="20" s="1"/>
  <c r="S51" i="20" s="1"/>
  <c r="M33" i="26" s="1"/>
  <c r="T33" i="26" s="1"/>
  <c r="P64" i="23"/>
  <c r="P36" i="20"/>
  <c r="P33" i="20" s="1"/>
  <c r="P38" i="20" s="1"/>
  <c r="P41" i="20" s="1"/>
  <c r="P45" i="20" s="1"/>
  <c r="S64" i="23"/>
  <c r="S65" i="23" s="1"/>
  <c r="R64" i="23"/>
  <c r="R65" i="23" s="1"/>
  <c r="W55" i="67"/>
  <c r="W58" i="67" s="1"/>
  <c r="W74" i="67" s="1"/>
  <c r="X55" i="67"/>
  <c r="X58" i="67" s="1"/>
  <c r="X74" i="67" s="1"/>
  <c r="AA55" i="67"/>
  <c r="AA58" i="67" s="1"/>
  <c r="AA74" i="67" s="1"/>
  <c r="J75" i="67"/>
  <c r="H75" i="67"/>
  <c r="G75" i="67"/>
  <c r="I75" i="67"/>
  <c r="K75" i="67"/>
  <c r="M75" i="67"/>
  <c r="L37" i="67"/>
  <c r="R84" i="36"/>
  <c r="R86" i="36" s="1"/>
  <c r="S81" i="36"/>
  <c r="S84" i="36" s="1"/>
  <c r="S86" i="36" s="1"/>
  <c r="U55" i="67"/>
  <c r="U58" i="67" s="1"/>
  <c r="U74" i="67" s="1"/>
  <c r="R82" i="36"/>
  <c r="R88" i="36" s="1"/>
  <c r="R23" i="36" s="1"/>
  <c r="R27" i="36" s="1"/>
  <c r="R31" i="36" s="1"/>
  <c r="R32" i="36" s="1"/>
  <c r="R77" i="36" s="1"/>
  <c r="Q24" i="36"/>
  <c r="P37" i="67"/>
  <c r="W37" i="67"/>
  <c r="V37" i="67"/>
  <c r="Q25" i="67"/>
  <c r="Q37" i="67" s="1"/>
  <c r="O37" i="67"/>
  <c r="Z37" i="67"/>
  <c r="T75" i="42"/>
  <c r="T78" i="42" s="1"/>
  <c r="T28" i="42"/>
  <c r="I107" i="31"/>
  <c r="T91" i="42"/>
  <c r="I603" i="31" s="1"/>
  <c r="T38" i="42"/>
  <c r="I122" i="31" s="1"/>
  <c r="R38" i="42"/>
  <c r="G122" i="31" s="1"/>
  <c r="R28" i="42"/>
  <c r="G107" i="31"/>
  <c r="R91" i="42"/>
  <c r="G603" i="31" s="1"/>
  <c r="D112" i="31"/>
  <c r="D252" i="31"/>
  <c r="D254" i="31" s="1"/>
  <c r="D262" i="31" s="1"/>
  <c r="D264" i="31" s="1"/>
  <c r="N264" i="31" s="1"/>
  <c r="O30" i="42"/>
  <c r="D507" i="31"/>
  <c r="T51" i="34"/>
  <c r="R51" i="34"/>
  <c r="N37" i="67"/>
  <c r="S37" i="67"/>
  <c r="T37" i="67"/>
  <c r="Y25" i="67"/>
  <c r="Y37" i="67" s="1"/>
  <c r="O55" i="67"/>
  <c r="O58" i="67" s="1"/>
  <c r="O74" i="67" s="1"/>
  <c r="H88" i="36"/>
  <c r="H84" i="36"/>
  <c r="H86" i="36" s="1"/>
  <c r="H24" i="36"/>
  <c r="H90" i="36"/>
  <c r="H25" i="36" s="1"/>
  <c r="R75" i="67"/>
  <c r="K102" i="36"/>
  <c r="K96" i="36"/>
  <c r="J96" i="36"/>
  <c r="J102" i="36"/>
  <c r="J103" i="36" s="1"/>
  <c r="L84" i="36"/>
  <c r="L86" i="36" s="1"/>
  <c r="L23" i="36"/>
  <c r="L27" i="36" s="1"/>
  <c r="L31" i="36" s="1"/>
  <c r="L32" i="36" s="1"/>
  <c r="L77" i="36" s="1"/>
  <c r="L92" i="36"/>
  <c r="L24" i="36"/>
  <c r="L90" i="36"/>
  <c r="L25" i="36" s="1"/>
  <c r="M89" i="36"/>
  <c r="M82" i="36"/>
  <c r="M88" i="36" s="1"/>
  <c r="R90" i="36"/>
  <c r="R25" i="36" s="1"/>
  <c r="R24" i="36"/>
  <c r="H264" i="31" l="1"/>
  <c r="F507" i="31"/>
  <c r="Q30" i="42"/>
  <c r="F252" i="31"/>
  <c r="F254" i="31" s="1"/>
  <c r="F262" i="31" s="1"/>
  <c r="F264" i="31" s="1"/>
  <c r="F112" i="31"/>
  <c r="H290" i="31"/>
  <c r="H114" i="31"/>
  <c r="R67" i="23"/>
  <c r="R36" i="20"/>
  <c r="R33" i="20" s="1"/>
  <c r="R38" i="20" s="1"/>
  <c r="R41" i="20" s="1"/>
  <c r="R57" i="20" s="1"/>
  <c r="P57" i="20"/>
  <c r="P44" i="20"/>
  <c r="I460" i="31" s="1"/>
  <c r="P43" i="20"/>
  <c r="I459" i="31" s="1"/>
  <c r="I462" i="31" s="1"/>
  <c r="P55" i="20"/>
  <c r="R9" i="42"/>
  <c r="R10" i="42" s="1"/>
  <c r="S38" i="20"/>
  <c r="S50" i="20" s="1"/>
  <c r="S53" i="20" s="1"/>
  <c r="P67" i="23"/>
  <c r="P65" i="23"/>
  <c r="P9" i="42"/>
  <c r="S9" i="42"/>
  <c r="H92" i="31" s="1"/>
  <c r="R92" i="31" s="1"/>
  <c r="O36" i="20"/>
  <c r="O33" i="20" s="1"/>
  <c r="O38" i="20" s="1"/>
  <c r="O41" i="20" s="1"/>
  <c r="O57" i="20" s="1"/>
  <c r="O64" i="23"/>
  <c r="S67" i="23"/>
  <c r="Q64" i="23"/>
  <c r="Q36" i="20"/>
  <c r="Q33" i="20" s="1"/>
  <c r="Q38" i="20" s="1"/>
  <c r="T64" i="23"/>
  <c r="T36" i="20"/>
  <c r="T33" i="20" s="1"/>
  <c r="AA75" i="67"/>
  <c r="X75" i="67"/>
  <c r="T75" i="67"/>
  <c r="Q75" i="67"/>
  <c r="V75" i="67"/>
  <c r="Y75" i="67"/>
  <c r="S75" i="67"/>
  <c r="Z75" i="67"/>
  <c r="W75" i="67"/>
  <c r="P75" i="67"/>
  <c r="L75" i="67"/>
  <c r="N75" i="67"/>
  <c r="U75" i="67"/>
  <c r="S89" i="36"/>
  <c r="S90" i="36" s="1"/>
  <c r="S25" i="36" s="1"/>
  <c r="T81" i="36"/>
  <c r="T84" i="36" s="1"/>
  <c r="T86" i="36" s="1"/>
  <c r="S82" i="36"/>
  <c r="S88" i="36" s="1"/>
  <c r="S92" i="36" s="1"/>
  <c r="R92" i="36"/>
  <c r="R96" i="36" s="1"/>
  <c r="O75" i="67"/>
  <c r="I507" i="31"/>
  <c r="T30" i="42"/>
  <c r="I112" i="31"/>
  <c r="I252" i="31"/>
  <c r="I254" i="31" s="1"/>
  <c r="I262" i="31" s="1"/>
  <c r="I264" i="31" s="1"/>
  <c r="G252" i="31"/>
  <c r="G254" i="31" s="1"/>
  <c r="G262" i="31" s="1"/>
  <c r="G264" i="31" s="1"/>
  <c r="R30" i="42"/>
  <c r="G112" i="31"/>
  <c r="G507" i="31"/>
  <c r="D290" i="31"/>
  <c r="D114" i="31"/>
  <c r="I461" i="31"/>
  <c r="P34" i="42"/>
  <c r="H23" i="36"/>
  <c r="H27" i="36" s="1"/>
  <c r="H31" i="36" s="1"/>
  <c r="H32" i="36" s="1"/>
  <c r="H77" i="36" s="1"/>
  <c r="H92" i="36"/>
  <c r="M23" i="36"/>
  <c r="M27" i="36" s="1"/>
  <c r="M31" i="36" s="1"/>
  <c r="M32" i="36" s="1"/>
  <c r="M77" i="36" s="1"/>
  <c r="M92" i="36"/>
  <c r="M84" i="36"/>
  <c r="M86" i="36" s="1"/>
  <c r="M24" i="36"/>
  <c r="M90" i="36"/>
  <c r="M25" i="36" s="1"/>
  <c r="K103" i="36"/>
  <c r="L102" i="36"/>
  <c r="L103" i="36" s="1"/>
  <c r="L96" i="36"/>
  <c r="F114" i="31" l="1"/>
  <c r="F290" i="31"/>
  <c r="P46" i="20"/>
  <c r="P32" i="42"/>
  <c r="P35" i="42" s="1"/>
  <c r="E119" i="31" s="1"/>
  <c r="R44" i="20"/>
  <c r="R33" i="42" s="1"/>
  <c r="R43" i="20"/>
  <c r="R32" i="42" s="1"/>
  <c r="R45" i="20"/>
  <c r="R34" i="42" s="1"/>
  <c r="R55" i="20"/>
  <c r="P33" i="42"/>
  <c r="E117" i="31" s="1"/>
  <c r="G92" i="31"/>
  <c r="Q92" i="31" s="1"/>
  <c r="S41" i="20"/>
  <c r="S55" i="20" s="1"/>
  <c r="S10" i="42"/>
  <c r="D63" i="31" s="1"/>
  <c r="M31" i="26"/>
  <c r="M43" i="26" s="1"/>
  <c r="Q32" i="26" s="1"/>
  <c r="T32" i="26" s="1"/>
  <c r="E92" i="31"/>
  <c r="O92" i="31" s="1"/>
  <c r="P10" i="42"/>
  <c r="T38" i="20"/>
  <c r="T51" i="20"/>
  <c r="Q9" i="42"/>
  <c r="Q65" i="23"/>
  <c r="Q67" i="23"/>
  <c r="T67" i="23"/>
  <c r="J123" i="31"/>
  <c r="T65" i="23"/>
  <c r="J124" i="31" s="1"/>
  <c r="N124" i="31" s="1"/>
  <c r="T9" i="42"/>
  <c r="Q41" i="20"/>
  <c r="Q57" i="20" s="1"/>
  <c r="O9" i="42"/>
  <c r="O67" i="23"/>
  <c r="O65" i="23"/>
  <c r="T89" i="36"/>
  <c r="T24" i="36" s="1"/>
  <c r="T82" i="36"/>
  <c r="T88" i="36" s="1"/>
  <c r="T92" i="36" s="1"/>
  <c r="U81" i="36"/>
  <c r="U89" i="36" s="1"/>
  <c r="S24" i="36"/>
  <c r="S23" i="36"/>
  <c r="S27" i="36" s="1"/>
  <c r="S31" i="36" s="1"/>
  <c r="S32" i="36" s="1"/>
  <c r="S77" i="36" s="1"/>
  <c r="R102" i="36"/>
  <c r="R104" i="36" s="1"/>
  <c r="I114" i="31"/>
  <c r="I290" i="31"/>
  <c r="G114" i="31"/>
  <c r="G290" i="31"/>
  <c r="E434" i="31"/>
  <c r="E118" i="31"/>
  <c r="H102" i="36"/>
  <c r="H96" i="36"/>
  <c r="M102" i="36"/>
  <c r="M103" i="36" s="1"/>
  <c r="M96" i="36"/>
  <c r="S102" i="36"/>
  <c r="S96" i="36"/>
  <c r="K460" i="31" l="1"/>
  <c r="E116" i="31"/>
  <c r="E433" i="31"/>
  <c r="E432" i="31"/>
  <c r="K461" i="31"/>
  <c r="Q37" i="26"/>
  <c r="T43" i="26"/>
  <c r="M45" i="26"/>
  <c r="T45" i="26" s="1"/>
  <c r="Q36" i="26"/>
  <c r="T36" i="26" s="1"/>
  <c r="S45" i="20"/>
  <c r="L461" i="31" s="1"/>
  <c r="K459" i="31"/>
  <c r="K462" i="31" s="1"/>
  <c r="R46" i="20"/>
  <c r="Q34" i="26"/>
  <c r="T34" i="26" s="1"/>
  <c r="S43" i="20"/>
  <c r="L459" i="31" s="1"/>
  <c r="L462" i="31" s="1"/>
  <c r="S57" i="20"/>
  <c r="S44" i="20"/>
  <c r="S33" i="42" s="1"/>
  <c r="T31" i="26"/>
  <c r="Q55" i="20"/>
  <c r="Q44" i="20"/>
  <c r="J460" i="31" s="1"/>
  <c r="Q45" i="20"/>
  <c r="J461" i="31" s="1"/>
  <c r="Q43" i="20"/>
  <c r="Q46" i="20" s="1"/>
  <c r="O10" i="42"/>
  <c r="D92" i="31"/>
  <c r="N92" i="31" s="1"/>
  <c r="I92" i="31"/>
  <c r="S92" i="31" s="1"/>
  <c r="T10" i="42"/>
  <c r="E63" i="31" s="1"/>
  <c r="Q10" i="42"/>
  <c r="F92" i="31"/>
  <c r="P92" i="31" s="1"/>
  <c r="T41" i="20"/>
  <c r="T43" i="20" s="1"/>
  <c r="T50" i="20"/>
  <c r="T53" i="20" s="1"/>
  <c r="T90" i="36"/>
  <c r="T25" i="36" s="1"/>
  <c r="U84" i="36"/>
  <c r="U86" i="36" s="1"/>
  <c r="T23" i="36"/>
  <c r="T27" i="36" s="1"/>
  <c r="T31" i="36" s="1"/>
  <c r="T32" i="36" s="1"/>
  <c r="T77" i="36" s="1"/>
  <c r="U82" i="36"/>
  <c r="U88" i="36" s="1"/>
  <c r="U23" i="36" s="1"/>
  <c r="U27" i="36" s="1"/>
  <c r="U31" i="36" s="1"/>
  <c r="U32" i="36" s="1"/>
  <c r="V81" i="36"/>
  <c r="V84" i="36" s="1"/>
  <c r="V86" i="36" s="1"/>
  <c r="S104" i="36"/>
  <c r="G118" i="31"/>
  <c r="G434" i="31"/>
  <c r="G117" i="31"/>
  <c r="G433" i="31"/>
  <c r="R35" i="42"/>
  <c r="G119" i="31" s="1"/>
  <c r="G432" i="31"/>
  <c r="G116" i="31"/>
  <c r="H103" i="36"/>
  <c r="I103" i="36"/>
  <c r="U90" i="36"/>
  <c r="U25" i="36" s="1"/>
  <c r="U24" i="36"/>
  <c r="T102" i="36"/>
  <c r="T104" i="36" s="1"/>
  <c r="T96" i="36"/>
  <c r="L460" i="31" l="1"/>
  <c r="S34" i="42"/>
  <c r="H118" i="31" s="1"/>
  <c r="Q34" i="42"/>
  <c r="F118" i="31" s="1"/>
  <c r="Q33" i="42"/>
  <c r="F117" i="31" s="1"/>
  <c r="S32" i="42"/>
  <c r="H432" i="31" s="1"/>
  <c r="Q32" i="42"/>
  <c r="Q35" i="42" s="1"/>
  <c r="F119" i="31" s="1"/>
  <c r="S46" i="20"/>
  <c r="J459" i="31"/>
  <c r="J462" i="31" s="1"/>
  <c r="T45" i="20"/>
  <c r="T34" i="42" s="1"/>
  <c r="T57" i="20"/>
  <c r="T44" i="20"/>
  <c r="T33" i="42" s="1"/>
  <c r="T46" i="20"/>
  <c r="T32" i="42"/>
  <c r="T55" i="20"/>
  <c r="U92" i="36"/>
  <c r="U102" i="36" s="1"/>
  <c r="U104" i="36" s="1"/>
  <c r="W81" i="36"/>
  <c r="W89" i="36" s="1"/>
  <c r="V82" i="36"/>
  <c r="V88" i="36" s="1"/>
  <c r="V92" i="36" s="1"/>
  <c r="V89" i="36"/>
  <c r="V24" i="36" s="1"/>
  <c r="H433" i="31"/>
  <c r="H117" i="31"/>
  <c r="H434" i="31" l="1"/>
  <c r="F434" i="31"/>
  <c r="F433" i="31"/>
  <c r="F432" i="31"/>
  <c r="F116" i="31"/>
  <c r="H116" i="31"/>
  <c r="S35" i="42"/>
  <c r="H119" i="31" s="1"/>
  <c r="I432" i="31"/>
  <c r="T35" i="42"/>
  <c r="I119" i="31" s="1"/>
  <c r="I116" i="31"/>
  <c r="I433" i="31"/>
  <c r="I117" i="31"/>
  <c r="I118" i="31"/>
  <c r="I434" i="31"/>
  <c r="U96" i="36"/>
  <c r="W82" i="36"/>
  <c r="W88" i="36" s="1"/>
  <c r="W92" i="36" s="1"/>
  <c r="X81" i="36"/>
  <c r="X84" i="36" s="1"/>
  <c r="X86" i="36" s="1"/>
  <c r="W84" i="36"/>
  <c r="W86" i="36" s="1"/>
  <c r="V90" i="36"/>
  <c r="V25" i="36" s="1"/>
  <c r="V23" i="36"/>
  <c r="V27" i="36" s="1"/>
  <c r="V31" i="36" s="1"/>
  <c r="V32" i="36" s="1"/>
  <c r="V96" i="36"/>
  <c r="V102" i="36"/>
  <c r="V104" i="36" s="1"/>
  <c r="W24" i="36"/>
  <c r="W90" i="36"/>
  <c r="W25" i="36" s="1"/>
  <c r="W23" i="36" l="1"/>
  <c r="W27" i="36" s="1"/>
  <c r="W31" i="36" s="1"/>
  <c r="W32" i="36" s="1"/>
  <c r="X82" i="36"/>
  <c r="X88" i="36" s="1"/>
  <c r="X23" i="36" s="1"/>
  <c r="X27" i="36" s="1"/>
  <c r="X31" i="36" s="1"/>
  <c r="X32" i="36" s="1"/>
  <c r="X89" i="36"/>
  <c r="X90" i="36" s="1"/>
  <c r="X25" i="36" s="1"/>
  <c r="W102" i="36"/>
  <c r="W104" i="36" s="1"/>
  <c r="W96" i="36"/>
  <c r="X24" i="36" l="1"/>
  <c r="X92" i="36"/>
  <c r="X102" i="36" s="1"/>
  <c r="X104" i="36" s="1"/>
  <c r="X96"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44" authorId="0" shapeId="0" xr:uid="{D14B238C-D781-4C6C-A684-4F5CA1FDD503}">
      <text>
        <r>
          <rPr>
            <b/>
            <sz val="9"/>
            <color indexed="81"/>
            <rFont val="Tahoma"/>
            <family val="2"/>
          </rPr>
          <t>Garth:</t>
        </r>
        <r>
          <rPr>
            <sz val="9"/>
            <color indexed="81"/>
            <rFont val="Tahoma"/>
            <family val="2"/>
          </rPr>
          <t xml:space="preserve">
736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45" authorId="0" shapeId="0" xr:uid="{946671D6-D371-4C1C-B2AA-319B05B1BBCD}">
      <text>
        <r>
          <rPr>
            <b/>
            <sz val="9"/>
            <color indexed="81"/>
            <rFont val="Tahoma"/>
            <family val="2"/>
          </rPr>
          <t>Garth:</t>
        </r>
        <r>
          <rPr>
            <sz val="9"/>
            <color indexed="81"/>
            <rFont val="Tahoma"/>
            <family val="2"/>
          </rPr>
          <t xml:space="preserve">
736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93" authorId="0" shapeId="0" xr:uid="{A4093EB7-F9D0-4CB5-81B7-E2203BF63941}">
      <text>
        <r>
          <rPr>
            <b/>
            <sz val="9"/>
            <color indexed="81"/>
            <rFont val="Tahoma"/>
            <family val="2"/>
          </rPr>
          <t>Garth:</t>
        </r>
        <r>
          <rPr>
            <sz val="9"/>
            <color indexed="81"/>
            <rFont val="Tahoma"/>
            <family val="2"/>
          </rPr>
          <t xml:space="preserve">
736
</t>
        </r>
      </text>
    </comment>
    <comment ref="M341" authorId="0" shapeId="0" xr:uid="{5D98F768-B54E-4CBC-B41E-EEE3A88E92BD}">
      <text>
        <r>
          <rPr>
            <b/>
            <sz val="9"/>
            <color indexed="81"/>
            <rFont val="Tahoma"/>
            <family val="2"/>
          </rPr>
          <t>Garth:</t>
        </r>
        <r>
          <rPr>
            <sz val="9"/>
            <color indexed="81"/>
            <rFont val="Tahoma"/>
            <family val="2"/>
          </rPr>
          <t xml:space="preserve">
Disposal of Sub</t>
        </r>
      </text>
    </comment>
    <comment ref="Q342" authorId="0" shapeId="0" xr:uid="{57B45489-CEA2-41B2-A698-CE1C86FC539F}">
      <text>
        <r>
          <rPr>
            <b/>
            <sz val="9"/>
            <color indexed="81"/>
            <rFont val="Tahoma"/>
            <family val="2"/>
          </rPr>
          <t>Garth:</t>
        </r>
        <r>
          <rPr>
            <sz val="9"/>
            <color indexed="81"/>
            <rFont val="Tahoma"/>
            <family val="2"/>
          </rPr>
          <t xml:space="preserve">
Depreciation change left in as needs no adjustment offset by change to provision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Q39" authorId="0" shapeId="0" xr:uid="{5A8326F0-4842-4AAE-937C-68872ABA4D8E}">
      <text>
        <r>
          <rPr>
            <b/>
            <sz val="9"/>
            <color indexed="81"/>
            <rFont val="Tahoma"/>
            <family val="2"/>
          </rPr>
          <t>Garth:</t>
        </r>
        <r>
          <rPr>
            <sz val="9"/>
            <color indexed="81"/>
            <rFont val="Tahoma"/>
            <family val="2"/>
          </rPr>
          <t xml:space="preserve">
736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Garth</author>
  </authors>
  <commentList>
    <comment ref="G17" authorId="0" shapeId="0" xr:uid="{00000000-0006-0000-1E00-000001000000}">
      <text>
        <r>
          <rPr>
            <sz val="9"/>
            <color indexed="81"/>
            <rFont val="Tahoma"/>
            <family val="2"/>
          </rPr>
          <t xml:space="preserve">
WACC 
</t>
        </r>
      </text>
    </comment>
  </commentList>
</comments>
</file>

<file path=xl/sharedStrings.xml><?xml version="1.0" encoding="utf-8"?>
<sst xmlns="http://schemas.openxmlformats.org/spreadsheetml/2006/main" count="3482" uniqueCount="1519">
  <si>
    <t>Contact Energy Limited</t>
  </si>
  <si>
    <t>Contents</t>
  </si>
  <si>
    <t>2011 to 2021</t>
  </si>
  <si>
    <t>Financial performance summary and data summaries.</t>
  </si>
  <si>
    <t>Accounting Data</t>
  </si>
  <si>
    <t>Intangibles</t>
  </si>
  <si>
    <t>Income Statements and Related Data</t>
  </si>
  <si>
    <t>Derivatives</t>
  </si>
  <si>
    <t>Balance Sheet</t>
  </si>
  <si>
    <t>Energy</t>
  </si>
  <si>
    <t>Other Comprehensive Income</t>
  </si>
  <si>
    <t>Reconciliation of NPAT &amp; Operating Cash Flows: Non-cash Flow Items</t>
  </si>
  <si>
    <t>Deferred Tax</t>
  </si>
  <si>
    <t xml:space="preserve"> </t>
  </si>
  <si>
    <t>Other</t>
  </si>
  <si>
    <t>Revaluation Reserve</t>
  </si>
  <si>
    <t>Balance Sheets and Related Data</t>
  </si>
  <si>
    <t>Movements in Equity</t>
  </si>
  <si>
    <t>Assets</t>
  </si>
  <si>
    <t>Statement of Cash Flows</t>
  </si>
  <si>
    <t>Equity and Liabilities</t>
  </si>
  <si>
    <t>Data Adjustments Notes</t>
  </si>
  <si>
    <t>Property, Plant &amp; Equipment</t>
  </si>
  <si>
    <t>Historic Cost</t>
  </si>
  <si>
    <t>Revaluations</t>
  </si>
  <si>
    <t>Depreciation Expense</t>
  </si>
  <si>
    <t>Disclaimer</t>
  </si>
  <si>
    <t>Disclaimer Statement:</t>
  </si>
  <si>
    <t>Ireland, Wallace &amp; Associates Limited ("IWA")</t>
  </si>
  <si>
    <t xml:space="preserve">This data collection and policy analysis by a financial analyst. It draws together conventional methodologies commonly applied in the investment </t>
  </si>
  <si>
    <t xml:space="preserve">and securities markets research and the author’s experience and judgement. </t>
  </si>
  <si>
    <t xml:space="preserve">This is not investment advice. Nobody is authorised to rely on it for investment decisions. It makes no recommendation to anyone </t>
  </si>
  <si>
    <t>other than to the Major Energy Users' Group ("MEUG") which has instructed IWA.</t>
  </si>
  <si>
    <t xml:space="preserve">The author accepts no liability to anyone for anything in theworksheetsor  review  for any action or inaction connected with it, whether or </t>
  </si>
  <si>
    <t>not the person has relied on it. It should not be copied or circulated other than in its entirety.</t>
  </si>
  <si>
    <t>The author has exercised care in producing it but only as far as he considers necessary for reputational purposes.</t>
  </si>
  <si>
    <t>The reader should verify data by reference to the source annual report (and related restatements, etc.)</t>
  </si>
  <si>
    <t xml:space="preserve">The data analysis will be updated or revised as new information emerges. There is no obligation on IWA or MEUG </t>
  </si>
  <si>
    <t>to notify anyone of revisions.</t>
  </si>
  <si>
    <t>Financial Performance</t>
  </si>
  <si>
    <t>Impairments</t>
  </si>
  <si>
    <t>Income Statements</t>
  </si>
  <si>
    <t>Source: Annual Reports</t>
  </si>
  <si>
    <t>$'000</t>
  </si>
  <si>
    <t>June</t>
  </si>
  <si>
    <t>Revenue</t>
  </si>
  <si>
    <t>3 months</t>
  </si>
  <si>
    <t>Mass Market Electricity</t>
  </si>
  <si>
    <t>C&amp;I Electricity - fixed Price</t>
  </si>
  <si>
    <t>C&amp;I Electricity - pass through</t>
  </si>
  <si>
    <t>Wholeslae Electricity, net of hedging</t>
  </si>
  <si>
    <t>Energy- Related Services</t>
  </si>
  <si>
    <t>Gas</t>
  </si>
  <si>
    <t>Steam</t>
  </si>
  <si>
    <t>Geothermal Services</t>
  </si>
  <si>
    <t>Broadband</t>
  </si>
  <si>
    <t>Other Income</t>
  </si>
  <si>
    <t>Gain on Sale of Assets</t>
  </si>
  <si>
    <t>Total Revenue</t>
  </si>
  <si>
    <t>Operating Expenses</t>
  </si>
  <si>
    <t>Energy Purchases - Pass Through</t>
  </si>
  <si>
    <t>Electricity-Related Service Costs</t>
  </si>
  <si>
    <t>Gas Storage Costs</t>
  </si>
  <si>
    <t>Carbon Emission Costs</t>
  </si>
  <si>
    <t>Generation Transmission &amp; Levies</t>
  </si>
  <si>
    <t>Electricity Networks, Levies &amp; Meter Costs-Fixed Price</t>
  </si>
  <si>
    <t>Electricity Networks, Levies &amp; Meter Costs-Pass Through</t>
  </si>
  <si>
    <t>Gas Networks, Transmission &amp; Meter Costs</t>
  </si>
  <si>
    <t>Geothermal Service Costs</t>
  </si>
  <si>
    <t>Broadband Costs</t>
  </si>
  <si>
    <t>Other Operating Expenses</t>
  </si>
  <si>
    <t>Total Operating Expenses</t>
  </si>
  <si>
    <t>EBITDAF</t>
  </si>
  <si>
    <t>Unrealised Net (Loss)/Gain on Financial Instruments</t>
  </si>
  <si>
    <t>Depreciation</t>
  </si>
  <si>
    <t>Impairment PP&amp;E</t>
  </si>
  <si>
    <t>Impairment Available for Sale Invest.</t>
  </si>
  <si>
    <t>Impairment Intangibles</t>
  </si>
  <si>
    <t>Impairment Inventories</t>
  </si>
  <si>
    <t>Impairment Assets</t>
  </si>
  <si>
    <t>Impairment Investments</t>
  </si>
  <si>
    <t>Provisions Costs/Carrying Value</t>
  </si>
  <si>
    <t>Equity Accounted Earnings of JVs</t>
  </si>
  <si>
    <t>Total Other Expenses</t>
  </si>
  <si>
    <t>Operating Profit</t>
  </si>
  <si>
    <t>Finance Costs &amp; Other Finance Related Inc/(Exp)</t>
  </si>
  <si>
    <t>Interest Income</t>
  </si>
  <si>
    <t>Total Net Finance Costs</t>
  </si>
  <si>
    <t>Profit Before Tax</t>
  </si>
  <si>
    <t>Income Tax Expense</t>
  </si>
  <si>
    <t>Deferred Tax/Other</t>
  </si>
  <si>
    <t>Profit After Tax</t>
  </si>
  <si>
    <t>Minority Interest</t>
  </si>
  <si>
    <t>check</t>
  </si>
  <si>
    <t>Operating Lease Expenses</t>
  </si>
  <si>
    <t>Operating Lease Payments</t>
  </si>
  <si>
    <t>Current Tax</t>
  </si>
  <si>
    <t>Net Profit After Tax</t>
  </si>
  <si>
    <t>Dividend</t>
  </si>
  <si>
    <t>To Retained Earnings</t>
  </si>
  <si>
    <t>Reconciliation NPAT &amp; Operating Cash Flows</t>
  </si>
  <si>
    <t>Base Model 2021</t>
  </si>
  <si>
    <t>NPAT Operating and Non-cash Reconciliations</t>
  </si>
  <si>
    <t>GAAP (cont.)</t>
  </si>
  <si>
    <t>IFRS mix</t>
  </si>
  <si>
    <t>IFRS (cont.)</t>
  </si>
  <si>
    <t>decimals</t>
  </si>
  <si>
    <t>basis</t>
  </si>
  <si>
    <t>restated</t>
  </si>
  <si>
    <t>Non-cash Items include</t>
  </si>
  <si>
    <t>Write Down Investment</t>
  </si>
  <si>
    <t>Impairment of Inventories</t>
  </si>
  <si>
    <t>Impairment of Investments</t>
  </si>
  <si>
    <t>Impairment PP&amp;E/Assets</t>
  </si>
  <si>
    <t>Depreciation &amp; Amortisation</t>
  </si>
  <si>
    <t>Amortisation of Intangibles</t>
  </si>
  <si>
    <t>Amortisation of Contract assets</t>
  </si>
  <si>
    <t>Movement in Provisions</t>
  </si>
  <si>
    <t>Equity Accounting of Associate/JV</t>
  </si>
  <si>
    <t>Amortisation</t>
  </si>
  <si>
    <t>Unrealised Net Change Fair Value Financial Instruments</t>
  </si>
  <si>
    <t>Deferred Finance Costs</t>
  </si>
  <si>
    <t>Finance Costs</t>
  </si>
  <si>
    <t>Share-based Payments</t>
  </si>
  <si>
    <t>Taxation</t>
  </si>
  <si>
    <t>a</t>
  </si>
  <si>
    <t>b</t>
  </si>
  <si>
    <t>difference</t>
  </si>
  <si>
    <t>Total</t>
  </si>
  <si>
    <t>Income Statement</t>
  </si>
  <si>
    <t>Generation Structures &amp; Plant</t>
  </si>
  <si>
    <t>Other Plant &amp; Equipment</t>
  </si>
  <si>
    <t>Depreciation, Amortisation &amp; Impairments</t>
  </si>
  <si>
    <t>Bank</t>
  </si>
  <si>
    <t>Restricted Cash Deposit</t>
  </si>
  <si>
    <t>Accounts Receivable/Prepay</t>
  </si>
  <si>
    <t>Unbilled Receivables</t>
  </si>
  <si>
    <t>Prov for Doubtful Debts/Credit Loss Allowance</t>
  </si>
  <si>
    <t>Net Receivables</t>
  </si>
  <si>
    <t>Prepayments</t>
  </si>
  <si>
    <t>Customer Contract Assets</t>
  </si>
  <si>
    <t>Inventories- Spares &amp; Stores</t>
  </si>
  <si>
    <t>Provision for Obsolescence</t>
  </si>
  <si>
    <t>Other Assets</t>
  </si>
  <si>
    <t>Finance Lease Receivable</t>
  </si>
  <si>
    <t>Current Tax Receivable</t>
  </si>
  <si>
    <t>Convertible Notes</t>
  </si>
  <si>
    <t>Assets Held for Resale</t>
  </si>
  <si>
    <t>Investments/Con Notes/Associates/Equity acct</t>
  </si>
  <si>
    <t>Loans Receivable</t>
  </si>
  <si>
    <t>Prepayments/Other</t>
  </si>
  <si>
    <t>Operating Derivatives</t>
  </si>
  <si>
    <t>Customer Acquistion Costs Net</t>
  </si>
  <si>
    <t>Investments Assets for Sale</t>
  </si>
  <si>
    <t>Equity Accounted JV</t>
  </si>
  <si>
    <t>Financing Derivatives</t>
  </si>
  <si>
    <t>Deferred Tax Asset</t>
  </si>
  <si>
    <t>Other Plant, Property &amp; Equipment</t>
  </si>
  <si>
    <t>Gross PP&amp;E</t>
  </si>
  <si>
    <t>Capital Work in Progress</t>
  </si>
  <si>
    <t>Leased Assets</t>
  </si>
  <si>
    <t>Accum. Dep/Amort Gen+Structures+Plant+CWIP</t>
  </si>
  <si>
    <t>Accum. Depreciation/Amort Other</t>
  </si>
  <si>
    <t>Total Depreciation/Amortisation</t>
  </si>
  <si>
    <t>Net PP&amp;E</t>
  </si>
  <si>
    <t>TOTAL</t>
  </si>
  <si>
    <t>Liabilities &amp; Equity</t>
  </si>
  <si>
    <t>Trade Creditors &amp; Accruals</t>
  </si>
  <si>
    <t>Employee Entitlements</t>
  </si>
  <si>
    <t>Unearned Income</t>
  </si>
  <si>
    <t>Deferred Consideration</t>
  </si>
  <si>
    <t>Customer Contract Liabilities</t>
  </si>
  <si>
    <t>Accrued Expenses/Other</t>
  </si>
  <si>
    <t>Finance Lease Payable</t>
  </si>
  <si>
    <t>GST</t>
  </si>
  <si>
    <t>Provisions</t>
  </si>
  <si>
    <t>Current Tax Payable</t>
  </si>
  <si>
    <t>Liabilities classified as Held for Sale</t>
  </si>
  <si>
    <t>Provision for Dividend</t>
  </si>
  <si>
    <t>Current Term Borrowings</t>
  </si>
  <si>
    <t>Term Payables</t>
  </si>
  <si>
    <t>Finance Lease Liability</t>
  </si>
  <si>
    <t>Term Borrowings</t>
  </si>
  <si>
    <t>Share Capital</t>
  </si>
  <si>
    <t>Share Option Reserve</t>
  </si>
  <si>
    <t>FX Translation</t>
  </si>
  <si>
    <t>Cash Flow Hedge Reserve</t>
  </si>
  <si>
    <t>Available For Sale Reserve</t>
  </si>
  <si>
    <t>Retained Earning\Other</t>
  </si>
  <si>
    <t>Equity</t>
  </si>
  <si>
    <t>Minority Interests</t>
  </si>
  <si>
    <t>Options Vested Whisper Tech</t>
  </si>
  <si>
    <t>Total Equity</t>
  </si>
  <si>
    <t>Meridian Energy</t>
  </si>
  <si>
    <t>Under</t>
  </si>
  <si>
    <t>GAAP</t>
  </si>
  <si>
    <t>Transition</t>
  </si>
  <si>
    <t>NZIFRS</t>
  </si>
  <si>
    <t>Cash Flow Hedge</t>
  </si>
  <si>
    <t>Retained Earnings</t>
  </si>
  <si>
    <t>Derivative Financial Instruments</t>
  </si>
  <si>
    <t>Investments</t>
  </si>
  <si>
    <t>Intangible Assets</t>
  </si>
  <si>
    <t>Deferred Tax Assets</t>
  </si>
  <si>
    <t>PP&amp;E</t>
  </si>
  <si>
    <t>Total Assets</t>
  </si>
  <si>
    <t>Liabilities</t>
  </si>
  <si>
    <t>Deferred Tax Liability</t>
  </si>
  <si>
    <t>Other Liabilities</t>
  </si>
  <si>
    <t>Total Liabilities</t>
  </si>
  <si>
    <t>Net Assets</t>
  </si>
  <si>
    <t>Plant, Property &amp; Equipment</t>
  </si>
  <si>
    <r>
      <rPr>
        <i/>
        <sz val="8"/>
        <rFont val="Arial MT"/>
      </rPr>
      <t>less</t>
    </r>
    <r>
      <rPr>
        <sz val="8"/>
        <rFont val="Arial MT"/>
      </rPr>
      <t xml:space="preserve"> accum Depreciation</t>
    </r>
  </si>
  <si>
    <t>Net Generation Structures &amp; Plant</t>
  </si>
  <si>
    <t>Net Land &amp; Building</t>
  </si>
  <si>
    <t>Right of Use Assets</t>
  </si>
  <si>
    <t>Net Right of Use Assets</t>
  </si>
  <si>
    <t>Net Capital WIP</t>
  </si>
  <si>
    <t>Summary PP&amp;E</t>
  </si>
  <si>
    <t>Total Cost at Fair Value</t>
  </si>
  <si>
    <t>Gross PP&amp;E &amp; Capital WIP</t>
  </si>
  <si>
    <r>
      <rPr>
        <i/>
        <sz val="8"/>
        <rFont val="Arial MT"/>
      </rPr>
      <t>less</t>
    </r>
    <r>
      <rPr>
        <sz val="8"/>
        <rFont val="Arial MT"/>
      </rPr>
      <t xml:space="preserve"> accum Depreciation &amp; Amortisation</t>
    </r>
  </si>
  <si>
    <t xml:space="preserve">Other </t>
  </si>
  <si>
    <t xml:space="preserve">Total Accum Depreciation &amp; Amortisation </t>
  </si>
  <si>
    <t>Investment</t>
  </si>
  <si>
    <t>Less accum. Amortisation</t>
  </si>
  <si>
    <t>Goodwill</t>
  </si>
  <si>
    <t>Licences</t>
  </si>
  <si>
    <t>less accum Amortisation</t>
  </si>
  <si>
    <t>Net</t>
  </si>
  <si>
    <t>Patents &amp; Trademarks</t>
  </si>
  <si>
    <t>Net Intangible Assets</t>
  </si>
  <si>
    <t>Fair Value on Balance Sheet</t>
  </si>
  <si>
    <t>Net Derivatives</t>
  </si>
  <si>
    <t>Treasury Hedges</t>
  </si>
  <si>
    <t>Interest,Basis/Margin, FX Risk</t>
  </si>
  <si>
    <t>IRS</t>
  </si>
  <si>
    <t>FX CCIRS</t>
  </si>
  <si>
    <t>CfDs</t>
  </si>
  <si>
    <t>Net Treasury Derivatives</t>
  </si>
  <si>
    <t>Electricity Related Hedges</t>
  </si>
  <si>
    <t>Market Electricity &amp; Other Hedges</t>
  </si>
  <si>
    <t>Other Hedges</t>
  </si>
  <si>
    <t>Electricity Options</t>
  </si>
  <si>
    <t>LGCs</t>
  </si>
  <si>
    <t>Net Electicity Derivatives</t>
  </si>
  <si>
    <t>Summaries</t>
  </si>
  <si>
    <t>Total Hedge Liabilities</t>
  </si>
  <si>
    <t>Treasury</t>
  </si>
  <si>
    <t>Electricity</t>
  </si>
  <si>
    <t>Net Position</t>
  </si>
  <si>
    <t>Fair Value Movements in Income Statement</t>
  </si>
  <si>
    <t>Treasury Hedges (+gain)</t>
  </si>
  <si>
    <t>Electricity Related Hedges (+gain)</t>
  </si>
  <si>
    <t>Deferred Tax Liabilities</t>
  </si>
  <si>
    <t>Total Deferred Tax</t>
  </si>
  <si>
    <t>On Surplus</t>
  </si>
  <si>
    <t>Acquired</t>
  </si>
  <si>
    <t>Available for Sale Reserve</t>
  </si>
  <si>
    <t>Financial Instruments</t>
  </si>
  <si>
    <t>Total Deferred Tax Liabilities</t>
  </si>
  <si>
    <t>Disposal of Subsidiary</t>
  </si>
  <si>
    <t>Net Deferred Tax</t>
  </si>
  <si>
    <t>Equity Movements</t>
  </si>
  <si>
    <t>Total Equity year end</t>
  </si>
  <si>
    <t>Net Profit</t>
  </si>
  <si>
    <t>Net Gains Cash Flow Hedges (loss)</t>
  </si>
  <si>
    <t>Total Other Comprehensive Income, net of Tax</t>
  </si>
  <si>
    <t>Share-based Transactions</t>
  </si>
  <si>
    <t>Dividend Paid</t>
  </si>
  <si>
    <t>Cash Flows</t>
  </si>
  <si>
    <t>Operating Activities</t>
  </si>
  <si>
    <t>Cash from</t>
  </si>
  <si>
    <t>Receipts from Customers</t>
  </si>
  <si>
    <t>Net GST Receipts</t>
  </si>
  <si>
    <t>Interest Received</t>
  </si>
  <si>
    <t>Dividends Received</t>
  </si>
  <si>
    <t>Cash applied to</t>
  </si>
  <si>
    <t>Interest Paid</t>
  </si>
  <si>
    <t>Income/GST Paid</t>
  </si>
  <si>
    <t>Income Tax Paid</t>
  </si>
  <si>
    <t>Payments to Suppliers/Employees</t>
  </si>
  <si>
    <t>Operating Net Cash Flows</t>
  </si>
  <si>
    <t>Investing Activities</t>
  </si>
  <si>
    <t>Sale PP&amp;E</t>
  </si>
  <si>
    <t>Government Grant</t>
  </si>
  <si>
    <t>Sale of Intangible Assets</t>
  </si>
  <si>
    <t>Sale of Investments</t>
  </si>
  <si>
    <t>Purchase of PP&amp;E</t>
  </si>
  <si>
    <t>Capitalised Interest</t>
  </si>
  <si>
    <t>Acquistion Controlled Entities</t>
  </si>
  <si>
    <t>Purchase of Intangible Assets</t>
  </si>
  <si>
    <t>Purchase of Investments</t>
  </si>
  <si>
    <t>Purchase Subsidiary</t>
  </si>
  <si>
    <t>Consumer Acquisition Costs</t>
  </si>
  <si>
    <t>Acquisition of Controlled Entity</t>
  </si>
  <si>
    <t>Australian Stamp Duty Paid</t>
  </si>
  <si>
    <t>Investing Net Cash Flows</t>
  </si>
  <si>
    <t>Financing Activities</t>
  </si>
  <si>
    <t>Term Borrowing Drawn</t>
  </si>
  <si>
    <t>Term Borrowing Repaid</t>
  </si>
  <si>
    <t>Lease Liabilities Repaid</t>
  </si>
  <si>
    <t>Shares Purchased for Long-term Incentive</t>
  </si>
  <si>
    <t>Share Issuance</t>
  </si>
  <si>
    <t>ECNZ Loan</t>
  </si>
  <si>
    <t>Financing Net Cash Flows</t>
  </si>
  <si>
    <t>Net Increase /(decrease) in Cash Held</t>
  </si>
  <si>
    <t>Cash &amp; Cash Equivalents at Beginning of year</t>
  </si>
  <si>
    <t>Cash Transferred to Assts held for Resale</t>
  </si>
  <si>
    <t>Cash Removed on Sale of Subsidiary</t>
  </si>
  <si>
    <t>Effect of Exchange Rate Changes on Net Cash</t>
  </si>
  <si>
    <t>Cash &amp; Cash Equivalents at End of year</t>
  </si>
  <si>
    <t>Income Statements for FINANSEER</t>
  </si>
  <si>
    <t>Impairment/Prov Cost/Carry Value</t>
  </si>
  <si>
    <t>FX loss(gain)</t>
  </si>
  <si>
    <t>Other Costs</t>
  </si>
  <si>
    <t>Depreciation Actual</t>
  </si>
  <si>
    <t>Total Expenses</t>
  </si>
  <si>
    <t>Financial Statements for FINANSEER</t>
  </si>
  <si>
    <t>acct</t>
  </si>
  <si>
    <t>tax</t>
  </si>
  <si>
    <t>Net Inventories</t>
  </si>
  <si>
    <t>Customer Acquistion Costs</t>
  </si>
  <si>
    <t>Accum. Depreciation/Amort - Other</t>
  </si>
  <si>
    <t>Trade Creditors &amp; Accruals/Lease</t>
  </si>
  <si>
    <t>Provisions/OtherLiabilities</t>
  </si>
  <si>
    <t>Deferred Tax actual</t>
  </si>
  <si>
    <t>Deferred Tax adj</t>
  </si>
  <si>
    <t>Revaluation Reserve actual</t>
  </si>
  <si>
    <t>Revaluation Accum Depreciation adj</t>
  </si>
  <si>
    <t>Retained Earnings/Other</t>
  </si>
  <si>
    <t>Financial Statements</t>
  </si>
  <si>
    <t>Gross PP&amp;E+CWIP</t>
  </si>
  <si>
    <t>XX</t>
  </si>
  <si>
    <t>FX Translation Reserve</t>
  </si>
  <si>
    <t>na</t>
  </si>
  <si>
    <t>$m</t>
  </si>
  <si>
    <t>EBIT</t>
  </si>
  <si>
    <t>Debt</t>
  </si>
  <si>
    <t>Net Working Capital</t>
  </si>
  <si>
    <t>Data Adjustments</t>
  </si>
  <si>
    <t>Objective is to:</t>
  </si>
  <si>
    <t xml:space="preserve">restate reported financial information in an economic framework by adjusting the raw accounting data to reflect underlying economic performance.  </t>
  </si>
  <si>
    <t xml:space="preserve">The adjustments are designed to separate operating performance from financing decisions ultimately presenting the returns generated from an all equity funded business. </t>
  </si>
  <si>
    <r>
      <t>The resulting performance measure should better reflect the "cash return" on "cash invested" in operations. The derived Net Operating Profit after Tax (</t>
    </r>
    <r>
      <rPr>
        <b/>
        <sz val="11"/>
        <rFont val="Arial"/>
        <family val="2"/>
      </rPr>
      <t>"NOPAT")</t>
    </r>
    <r>
      <rPr>
        <sz val="11"/>
        <rFont val="Arial"/>
        <family val="2"/>
      </rPr>
      <t xml:space="preserve">  is the economic profit </t>
    </r>
  </si>
  <si>
    <r>
      <t>of an all equity funded business and the Operating Capital Employed (</t>
    </r>
    <r>
      <rPr>
        <b/>
        <sz val="11"/>
        <rFont val="Arial"/>
        <family val="2"/>
      </rPr>
      <t>"Capital"</t>
    </r>
    <r>
      <rPr>
        <sz val="11"/>
        <rFont val="Arial"/>
        <family val="2"/>
      </rPr>
      <t>) is the cash and cash-equivalent investment in operations.</t>
    </r>
  </si>
  <si>
    <t>Selected adjustments have been identified:</t>
  </si>
  <si>
    <t>Credit Loss/Bad Debts Reserves</t>
  </si>
  <si>
    <t xml:space="preserve">The reserves are a provision against anticipated future bad debts and as such changes in the provision are a non-cash charge against operating profits.  </t>
  </si>
  <si>
    <t xml:space="preserve">Reversal of the provision is necessary to ensure that operating profit reflects underlying cash flow.  The adjustment is consistent with the derivation of free cash flow in NPV or DCF models. </t>
  </si>
  <si>
    <t>NOPAT increases (decreases) and Capital increases (decreases) when adjustments are made for an increase (decrease) in the provision.</t>
  </si>
  <si>
    <t>Tax assumption: changes to cash tax is captured in deferred tax, otherwise assumed to be zero.</t>
  </si>
  <si>
    <t>Non-capitalised Leases</t>
  </si>
  <si>
    <t>Tax assumption: the marginal corporate tax rate is applied to determine the after-tax cost of the lease financing component</t>
  </si>
  <si>
    <t>Asset Sale/Unusual Loss (Gain)</t>
  </si>
  <si>
    <t>Non-recurring losses (gains) after tax are aggregated and added back to (deducted from) Capital</t>
  </si>
  <si>
    <t>after tax</t>
  </si>
  <si>
    <t>NOPAT excludes any Unusual Loss (Gain) including in the Income Statement</t>
  </si>
  <si>
    <t>Tax assumption: no consequences for cash tax as the after tax amount of the non-recurring loss (gain) is excluded from NOPAT</t>
  </si>
  <si>
    <t>Treasury Hedge Adjustment</t>
  </si>
  <si>
    <t xml:space="preserve">Treasury Hedges are financing arrangements and are carried on the balance sheet.  They are revalued annually with changes in value taken to the Income Statement.   </t>
  </si>
  <si>
    <t>Accordingly, Treasury Hedge Gains (Losses) have been excluded from NOPAT as they are considered financing.</t>
  </si>
  <si>
    <t>Asset Impairments</t>
  </si>
  <si>
    <t>Tax assumption: changes to cash tax is captured in deferred tax, otherwise assumed to be zero</t>
  </si>
  <si>
    <t>Energy Hedge Adjustment</t>
  </si>
  <si>
    <t>Revaluation Depreciation</t>
  </si>
  <si>
    <t xml:space="preserve">For financial reporting Annual Depreciation Expense includes Depreciation based on normal Historic Cost and Depreciation on the revaluation component of PP&amp;E.  </t>
  </si>
  <si>
    <t>Revaluations are excluded from operating income and therefore the depreciation component of the revaluation needs to be removed from the annual depreciation provision.</t>
  </si>
  <si>
    <t>The accumulated excess depreciation is added to capital to restore equity to historic cost.</t>
  </si>
  <si>
    <t>Asset Revaluations Adjustment</t>
  </si>
  <si>
    <t>Tax assumption: no consequences for cash tax.</t>
  </si>
  <si>
    <t>General Tax Rates</t>
  </si>
  <si>
    <t>provision</t>
  </si>
  <si>
    <t>Less Lease income</t>
  </si>
  <si>
    <t>Net Lease cost</t>
  </si>
  <si>
    <t>assumptions</t>
  </si>
  <si>
    <t>Less imputed depreciation</t>
  </si>
  <si>
    <t>Lease cost "interest"</t>
  </si>
  <si>
    <t>Rf 10 year ave.</t>
  </si>
  <si>
    <t>Debt margin</t>
  </si>
  <si>
    <t>Capitalisation rate</t>
  </si>
  <si>
    <t>Lagged Cap rate 3 yr ave 10y</t>
  </si>
  <si>
    <t>PV Non-capitalised  leases</t>
  </si>
  <si>
    <t>Lease cost</t>
  </si>
  <si>
    <t>Interest</t>
  </si>
  <si>
    <t>imputed factor %</t>
  </si>
  <si>
    <t>tax rate</t>
  </si>
  <si>
    <t>Tax Rate Assumed</t>
  </si>
  <si>
    <t>Less estimated Tax</t>
  </si>
  <si>
    <t>Net Gains a/tax</t>
  </si>
  <si>
    <t>cum Unusual Gains a/tax</t>
  </si>
  <si>
    <t>plus = IS profit</t>
  </si>
  <si>
    <t>Net Loss a/tax</t>
  </si>
  <si>
    <t>minus = IS loss</t>
  </si>
  <si>
    <t>Summary</t>
  </si>
  <si>
    <t>Gain on Sale PP&amp;E</t>
  </si>
  <si>
    <t>Capital</t>
  </si>
  <si>
    <t>Cost/Capitalised Value multiple</t>
  </si>
  <si>
    <t>Net Impairments</t>
  </si>
  <si>
    <t>Tax Rate</t>
  </si>
  <si>
    <t>cum Impairment Losses a/tax</t>
  </si>
  <si>
    <t>Energy Non-cash Hedge Movements</t>
  </si>
  <si>
    <t>Energy Derivatives (+gain)</t>
  </si>
  <si>
    <t>cum Energy FV Movements</t>
  </si>
  <si>
    <t>Annual Depreciation Expense</t>
  </si>
  <si>
    <t>WIP Depreciation/Impairment Expense</t>
  </si>
  <si>
    <t>Total Generation PP&amp;E Depreciation</t>
  </si>
  <si>
    <t>Difference</t>
  </si>
  <si>
    <t>cum Revaluations Actual</t>
  </si>
  <si>
    <t>Allocation Basis</t>
  </si>
  <si>
    <t>Energy Hedge</t>
  </si>
  <si>
    <t>cum Total 3160</t>
  </si>
  <si>
    <t xml:space="preserve"> =+NOPAT+Capital</t>
  </si>
  <si>
    <t>A</t>
  </si>
  <si>
    <t>Different Sources</t>
  </si>
  <si>
    <t xml:space="preserve">cumulative </t>
  </si>
  <si>
    <t>ex Data Adjustments</t>
  </si>
  <si>
    <t>ex FINANSEER Data</t>
  </si>
  <si>
    <t>ex Supplementry Data</t>
  </si>
  <si>
    <t>NOPAT &amp; Capital adj.</t>
  </si>
  <si>
    <t>B</t>
  </si>
  <si>
    <t>Breakdown by total</t>
  </si>
  <si>
    <t>Impairment</t>
  </si>
  <si>
    <t>C</t>
  </si>
  <si>
    <t>Change Breakdown</t>
  </si>
  <si>
    <t>annual</t>
  </si>
  <si>
    <t>Asset Revaluations Adjustments</t>
  </si>
  <si>
    <t>Cum Revaluations</t>
  </si>
  <si>
    <t>Fin Stat FINMOD</t>
  </si>
  <si>
    <t>old</t>
  </si>
  <si>
    <t>Financial Statement</t>
  </si>
  <si>
    <t>%</t>
  </si>
  <si>
    <t>Average</t>
  </si>
  <si>
    <t>$</t>
  </si>
  <si>
    <t>Cost of Capital</t>
  </si>
  <si>
    <t>Inputs</t>
  </si>
  <si>
    <t>0 to 1 years</t>
  </si>
  <si>
    <t>1 to 2 years</t>
  </si>
  <si>
    <t>2 to 5 years</t>
  </si>
  <si>
    <t>5+ years</t>
  </si>
  <si>
    <t>Debt Capitalisation Rate</t>
  </si>
  <si>
    <t>PV factors</t>
  </si>
  <si>
    <t>Present Value</t>
  </si>
  <si>
    <t>Jul</t>
  </si>
  <si>
    <t>Risk Free Rates</t>
  </si>
  <si>
    <t>10 year Risk Free Rate</t>
  </si>
  <si>
    <t>Dec</t>
  </si>
  <si>
    <t>Jan</t>
  </si>
  <si>
    <t>Mar</t>
  </si>
  <si>
    <t>5 year Risk Free Rate</t>
  </si>
  <si>
    <t>Risk Free Rate</t>
  </si>
  <si>
    <t>source: RBNZ B4?</t>
  </si>
  <si>
    <t>Years</t>
  </si>
  <si>
    <t xml:space="preserve"> 10-5</t>
  </si>
  <si>
    <t>Share Price</t>
  </si>
  <si>
    <t>year/end</t>
  </si>
  <si>
    <t>Marketable Securities</t>
  </si>
  <si>
    <t>Operating Capital</t>
  </si>
  <si>
    <t>NOPAT</t>
  </si>
  <si>
    <t>Free Cash Flow</t>
  </si>
  <si>
    <t>Total Capital</t>
  </si>
  <si>
    <t>Market Value Added</t>
  </si>
  <si>
    <t>Market Value</t>
  </si>
  <si>
    <t>Cost of Equity</t>
  </si>
  <si>
    <t>NZIFRS Effects 2006 - 2007</t>
  </si>
  <si>
    <t>NZIFRS Transition</t>
  </si>
  <si>
    <t>NZIFRS Transition Effects: Balance Sheet</t>
  </si>
  <si>
    <r>
      <t xml:space="preserve">Source: </t>
    </r>
    <r>
      <rPr>
        <b/>
        <sz val="8"/>
        <rFont val="Arial MT"/>
      </rPr>
      <t>200</t>
    </r>
    <r>
      <rPr>
        <sz val="8"/>
        <rFont val="Arial MT"/>
      </rPr>
      <t>6 Annual Report Note 15.</t>
    </r>
  </si>
  <si>
    <t>change</t>
  </si>
  <si>
    <t>IFRS</t>
  </si>
  <si>
    <t>NZIFRS Transition Effects: Income Statement</t>
  </si>
  <si>
    <t>Operating Revenue</t>
  </si>
  <si>
    <t>Earnings Before Interest, Tax, Depreciation, Amortisation and Fiinancial Instrumments (EBITDAF)</t>
  </si>
  <si>
    <t>Unrealised Net Gain on Financial Instruments</t>
  </si>
  <si>
    <t>Gain on Sale of PP&amp;E</t>
  </si>
  <si>
    <t>Loss on Sale of PP&amp;E</t>
  </si>
  <si>
    <t>Finance Costs and Other Financial Income (Expenses)</t>
  </si>
  <si>
    <t>Unrealised Net Gain onFinacial Instruments</t>
  </si>
  <si>
    <t>Income Tax</t>
  </si>
  <si>
    <t>Adjustments</t>
  </si>
  <si>
    <t>in 2007 accts</t>
  </si>
  <si>
    <t>in 2008 accts</t>
  </si>
  <si>
    <t>2006 GAAP restatements</t>
  </si>
  <si>
    <t>K163</t>
  </si>
  <si>
    <t>now</t>
  </si>
  <si>
    <t>was</t>
  </si>
  <si>
    <t>K168</t>
  </si>
  <si>
    <t>Econ Perform 1</t>
  </si>
  <si>
    <t>Ecomomic Performance</t>
  </si>
  <si>
    <t>Weeks in Year</t>
  </si>
  <si>
    <t>Fuel Stations</t>
  </si>
  <si>
    <t>no.</t>
  </si>
  <si>
    <t>Sales (total revenue)</t>
  </si>
  <si>
    <t xml:space="preserve"> yoy </t>
  </si>
  <si>
    <t xml:space="preserve">    yoy %</t>
  </si>
  <si>
    <t>Sales per Store</t>
  </si>
  <si>
    <t>Sales per sqm</t>
  </si>
  <si>
    <t>Economic Profit (EVA )</t>
  </si>
  <si>
    <t>EVA margin %</t>
  </si>
  <si>
    <t>[EVA/Sales]</t>
  </si>
  <si>
    <t>EVA Margin % points change</t>
  </si>
  <si>
    <t>rounding?</t>
  </si>
  <si>
    <t xml:space="preserve">EVA Spread </t>
  </si>
  <si>
    <t>[EVA/Capital]</t>
  </si>
  <si>
    <t>Capital ave</t>
  </si>
  <si>
    <t>EVA Momentum</t>
  </si>
  <si>
    <t>[EVA change/</t>
  </si>
  <si>
    <t>Sales prior year]</t>
  </si>
  <si>
    <t>EVA per store</t>
  </si>
  <si>
    <t>EVA$ per sqm</t>
  </si>
  <si>
    <t>Capital per Store</t>
  </si>
  <si>
    <t>Capital year end</t>
  </si>
  <si>
    <t>NWC per Store</t>
  </si>
  <si>
    <t>NWC per sqm</t>
  </si>
  <si>
    <r>
      <t xml:space="preserve">Working Capital </t>
    </r>
    <r>
      <rPr>
        <sz val="8"/>
        <rFont val="Arial MT"/>
      </rPr>
      <t>(cost of sales basis)</t>
    </r>
  </si>
  <si>
    <t>Inventory DOH</t>
  </si>
  <si>
    <t>days</t>
  </si>
  <si>
    <t>Accounts Payable DOH</t>
  </si>
  <si>
    <t>EVA Margin change</t>
  </si>
  <si>
    <t>Sales growth rate</t>
  </si>
  <si>
    <t>Profitable Growth</t>
  </si>
  <si>
    <t>NWC to Sales</t>
  </si>
  <si>
    <t>NWC to Capital</t>
  </si>
  <si>
    <t>Econ Perform 2</t>
  </si>
  <si>
    <t>Stores</t>
  </si>
  <si>
    <t>Area</t>
  </si>
  <si>
    <r>
      <t>m</t>
    </r>
    <r>
      <rPr>
        <sz val="9"/>
        <rFont val="Calibri"/>
        <family val="2"/>
      </rPr>
      <t>₂</t>
    </r>
  </si>
  <si>
    <t>Store m^2</t>
  </si>
  <si>
    <t>Sales</t>
  </si>
  <si>
    <t>Sales growth rate pa</t>
  </si>
  <si>
    <t>Sales per store</t>
  </si>
  <si>
    <t>Sales per m^2</t>
  </si>
  <si>
    <t>Gross Margin</t>
  </si>
  <si>
    <t>GM change</t>
  </si>
  <si>
    <t>EVA</t>
  </si>
  <si>
    <t>EVA change</t>
  </si>
  <si>
    <t>EVA per m^2</t>
  </si>
  <si>
    <t>EVA Margin</t>
  </si>
  <si>
    <t>Sales Prior Year</t>
  </si>
  <si>
    <t>EVA Improvement</t>
  </si>
  <si>
    <t>EVA Momentum pa</t>
  </si>
  <si>
    <t>Capital Operating</t>
  </si>
  <si>
    <t>Net Debt+Cap Leases-Mkt Sec</t>
  </si>
  <si>
    <t>Equity Adj.</t>
  </si>
  <si>
    <t>Debt to Capital BV</t>
  </si>
  <si>
    <t>Capital per store</t>
  </si>
  <si>
    <t>Capital per m^2</t>
  </si>
  <si>
    <t>Sales to Capital Operating</t>
  </si>
  <si>
    <t>MV per store</t>
  </si>
  <si>
    <t>MV per m^2</t>
  </si>
  <si>
    <t>MVA per store</t>
  </si>
  <si>
    <t>MVA per m^2</t>
  </si>
  <si>
    <t>Market Value to Capital Operating</t>
  </si>
  <si>
    <t>change NOPAT</t>
  </si>
  <si>
    <t>Capital Operating ave.</t>
  </si>
  <si>
    <t>Return on Capital (ave.)</t>
  </si>
  <si>
    <t>EVA Spread</t>
  </si>
  <si>
    <t>RoC/WACC</t>
  </si>
  <si>
    <t>Investment (net of Depreciation)</t>
  </si>
  <si>
    <t>Investment per store</t>
  </si>
  <si>
    <t>Accounting Expenses to Sales</t>
  </si>
  <si>
    <t>Wages, Salaries, etc.</t>
  </si>
  <si>
    <t>Lease/rental Expenses</t>
  </si>
  <si>
    <t>Other Expense</t>
  </si>
  <si>
    <t>Interest Expense Operating Leases</t>
  </si>
  <si>
    <t>Iincr) Employee Benefits</t>
  </si>
  <si>
    <t>(Incr) Impairments/Amortisation</t>
  </si>
  <si>
    <t>Incr) Inventory Reserve adj</t>
  </si>
  <si>
    <t>MVA to Sales</t>
  </si>
  <si>
    <t>NOPAT to Capital MV</t>
  </si>
  <si>
    <t>Multiple</t>
  </si>
  <si>
    <t>Adjusted EBIT Margin</t>
  </si>
  <si>
    <t>Adj. EBIT to Sales</t>
  </si>
  <si>
    <t>NOPAT per Store</t>
  </si>
  <si>
    <t>NWC</t>
  </si>
  <si>
    <t>Other Non-Operating</t>
  </si>
  <si>
    <t>Market Value Added 1</t>
  </si>
  <si>
    <t>MV Operating  Capital</t>
  </si>
  <si>
    <t>Market Value Operating Capital</t>
  </si>
  <si>
    <t>MVA</t>
  </si>
  <si>
    <t>MV Total Capital</t>
  </si>
  <si>
    <t>less Mkt Securituies</t>
  </si>
  <si>
    <t>less Non-operating Capital</t>
  </si>
  <si>
    <t>MV Operating Capital</t>
  </si>
  <si>
    <t>Operating Capital Average</t>
  </si>
  <si>
    <t>Market Value Added 2</t>
  </si>
  <si>
    <t>Adj. Book Value (Invested) per share</t>
  </si>
  <si>
    <t>Premium to Share Price</t>
  </si>
  <si>
    <t>Shares y/end</t>
  </si>
  <si>
    <t>Market Value Components</t>
  </si>
  <si>
    <t>Current Value Added</t>
  </si>
  <si>
    <t>(CVA)</t>
  </si>
  <si>
    <t>(CVA=EVA divided by CoC)</t>
  </si>
  <si>
    <t>CoC</t>
  </si>
  <si>
    <r>
      <t xml:space="preserve">Future Value Added </t>
    </r>
    <r>
      <rPr>
        <sz val="8"/>
        <rFont val="Arial MT"/>
      </rPr>
      <t>(FVA=MVA-CVA)</t>
    </r>
  </si>
  <si>
    <t>FVA</t>
  </si>
  <si>
    <t>CVA</t>
  </si>
  <si>
    <t>Per Store Analysis</t>
  </si>
  <si>
    <t>Number</t>
  </si>
  <si>
    <t>per store</t>
  </si>
  <si>
    <t>Future Growth Reliance (FGR)</t>
  </si>
  <si>
    <t>(FVA/MV)</t>
  </si>
  <si>
    <t>MV multiple of Operating Capital</t>
  </si>
  <si>
    <t>MVA Margin to Sales</t>
  </si>
  <si>
    <t>Yield</t>
  </si>
  <si>
    <t>Cost of Equity (for TSR)</t>
  </si>
  <si>
    <t>L=</t>
  </si>
  <si>
    <t>Share Price $</t>
  </si>
  <si>
    <t>TSR</t>
  </si>
  <si>
    <t>each year</t>
  </si>
  <si>
    <t>Dividends</t>
  </si>
  <si>
    <t>per</t>
  </si>
  <si>
    <t>Share Price change</t>
  </si>
  <si>
    <t>annum</t>
  </si>
  <si>
    <t>1 year</t>
  </si>
  <si>
    <t>2 years</t>
  </si>
  <si>
    <t>3 years</t>
  </si>
  <si>
    <t>4 years</t>
  </si>
  <si>
    <t>5 years</t>
  </si>
  <si>
    <t>6 years</t>
  </si>
  <si>
    <t>7 years</t>
  </si>
  <si>
    <t>8 years</t>
  </si>
  <si>
    <t>9 years</t>
  </si>
  <si>
    <t>10 years</t>
  </si>
  <si>
    <t>Cumulative</t>
  </si>
  <si>
    <t xml:space="preserve">TSR less annual Cost of Equity </t>
  </si>
  <si>
    <t>2007-16</t>
  </si>
  <si>
    <t>Cost of Equity (beg).</t>
  </si>
  <si>
    <t>Excess Return</t>
  </si>
  <si>
    <t>BGR</t>
  </si>
  <si>
    <t>WHS</t>
  </si>
  <si>
    <t>BRG relative to WHS</t>
  </si>
  <si>
    <t>Production</t>
  </si>
  <si>
    <t>GWk</t>
  </si>
  <si>
    <t>Plant Availability</t>
  </si>
  <si>
    <t>Market Share</t>
  </si>
  <si>
    <t>Average spot market</t>
  </si>
  <si>
    <t>MWh</t>
  </si>
  <si>
    <t>Transmission costs</t>
  </si>
  <si>
    <t xml:space="preserve"> +$70m pa</t>
  </si>
  <si>
    <t>Store Analysis                                                                                                2016</t>
  </si>
  <si>
    <t xml:space="preserve"> -------&gt;</t>
  </si>
  <si>
    <t>unit</t>
  </si>
  <si>
    <t>Total number of stores</t>
  </si>
  <si>
    <t>+</t>
  </si>
  <si>
    <t>stores</t>
  </si>
  <si>
    <t>Average Area</t>
  </si>
  <si>
    <t>m^2</t>
  </si>
  <si>
    <t>$m^2</t>
  </si>
  <si>
    <t>percent</t>
  </si>
  <si>
    <t xml:space="preserve"> '000</t>
  </si>
  <si>
    <r>
      <t xml:space="preserve">Gross Margin </t>
    </r>
    <r>
      <rPr>
        <sz val="10"/>
        <rFont val="Arial MT"/>
      </rPr>
      <t>(BRG basis)</t>
    </r>
  </si>
  <si>
    <r>
      <t xml:space="preserve">Inventory Days </t>
    </r>
    <r>
      <rPr>
        <sz val="10"/>
        <rFont val="Arial MT"/>
      </rPr>
      <t>(CoS)</t>
    </r>
  </si>
  <si>
    <t>Accounts Payable Days</t>
  </si>
  <si>
    <t>Return on Capital (ave)</t>
  </si>
  <si>
    <t>MV Capital</t>
  </si>
  <si>
    <t>MV multiple of Capital Operating</t>
  </si>
  <si>
    <t>times</t>
  </si>
  <si>
    <r>
      <t xml:space="preserve">Share Price </t>
    </r>
    <r>
      <rPr>
        <sz val="10"/>
        <rFont val="Arial MT"/>
      </rPr>
      <t>(end January)</t>
    </r>
  </si>
  <si>
    <t>cents</t>
  </si>
  <si>
    <t>share price:</t>
  </si>
  <si>
    <t>now +</t>
  </si>
  <si>
    <t>share price</t>
  </si>
  <si>
    <t>52 weeks</t>
  </si>
  <si>
    <t>53 weeks</t>
  </si>
  <si>
    <t>54 weeks</t>
  </si>
  <si>
    <t>Briscoe</t>
  </si>
  <si>
    <t>The Warehouse</t>
  </si>
  <si>
    <t>no</t>
  </si>
  <si>
    <t>sales:</t>
  </si>
  <si>
    <t>per m^2</t>
  </si>
  <si>
    <t>Inventories</t>
  </si>
  <si>
    <t>F120</t>
  </si>
  <si>
    <t>IWA</t>
  </si>
  <si>
    <t>Capital Charge</t>
  </si>
  <si>
    <t>WACC</t>
  </si>
  <si>
    <t>ave.</t>
  </si>
  <si>
    <t>Revaluation</t>
  </si>
  <si>
    <t>7_Data -Adj</t>
  </si>
  <si>
    <t>E1</t>
  </si>
  <si>
    <t>Impairments (-cost)</t>
  </si>
  <si>
    <t>F114</t>
  </si>
  <si>
    <t>F115</t>
  </si>
  <si>
    <t>F116</t>
  </si>
  <si>
    <t>F117</t>
  </si>
  <si>
    <t>F118</t>
  </si>
  <si>
    <t>F119</t>
  </si>
  <si>
    <t>3_Fin l686</t>
  </si>
  <si>
    <t>?</t>
  </si>
  <si>
    <t>Write Off Acqua prior year Capex</t>
  </si>
  <si>
    <t>Impairment Held for Sale Assets</t>
  </si>
  <si>
    <t>2_Inc-Stat l278</t>
  </si>
  <si>
    <t>Impairments of Assets</t>
  </si>
  <si>
    <t>2006  A/R</t>
  </si>
  <si>
    <t>Impairment Held for Sale Assets (gain)</t>
  </si>
  <si>
    <t>Discontinuing Activities</t>
  </si>
  <si>
    <t>Land Leases</t>
  </si>
  <si>
    <t>year</t>
  </si>
  <si>
    <t>Discont.</t>
  </si>
  <si>
    <t>Continued</t>
  </si>
  <si>
    <t>Discontinued</t>
  </si>
  <si>
    <t>Expenses</t>
  </si>
  <si>
    <t>Finance</t>
  </si>
  <si>
    <t>Tax</t>
  </si>
  <si>
    <t>NPAT</t>
  </si>
  <si>
    <t>should be</t>
  </si>
  <si>
    <t>but</t>
  </si>
  <si>
    <t>Unexplained</t>
  </si>
  <si>
    <t>Net Surplus from Continuing Activities</t>
  </si>
  <si>
    <t>Net Surplus from Discontinuing Activities (deficit)</t>
  </si>
  <si>
    <t>Revenue from Continuing Activities</t>
  </si>
  <si>
    <t>Revenue from Discontinuing Activities</t>
  </si>
  <si>
    <t>Financing Costs from Continuing Activities</t>
  </si>
  <si>
    <t>Financing Costs from Discontinuing Activities</t>
  </si>
  <si>
    <t>Tax Attributable to Continuing Activities</t>
  </si>
  <si>
    <t>Tax Attributable to Discontinuing Activities</t>
  </si>
  <si>
    <t>Data for Charts</t>
  </si>
  <si>
    <t>Charts data</t>
  </si>
  <si>
    <t>Return on Capital(AVG)</t>
  </si>
  <si>
    <t>Spread</t>
  </si>
  <si>
    <t>Ave Capital</t>
  </si>
  <si>
    <t>Sales/Ave Capital</t>
  </si>
  <si>
    <t>Operating Capital y/end</t>
  </si>
  <si>
    <t>Non-Operating Capital</t>
  </si>
  <si>
    <t>MVA/Sales</t>
  </si>
  <si>
    <t xml:space="preserve">CVA </t>
  </si>
  <si>
    <t>MV</t>
  </si>
  <si>
    <t>MVA/MV</t>
  </si>
  <si>
    <t>MVA/Capital</t>
  </si>
  <si>
    <t>TSR (y-to-y)</t>
  </si>
  <si>
    <t>TSR (last years)</t>
  </si>
  <si>
    <t>Sales/Capital</t>
  </si>
  <si>
    <t>NOPAT/MVA  multiple</t>
  </si>
  <si>
    <t>Gross Margin (Z)</t>
  </si>
  <si>
    <t>Operating Margin (Z)</t>
  </si>
  <si>
    <t>Area m^2 per Store</t>
  </si>
  <si>
    <t>Wages Salaries, etc/Sales</t>
  </si>
  <si>
    <t>NWC % Sales</t>
  </si>
  <si>
    <t>NWC per m^2</t>
  </si>
  <si>
    <t>Per Average Store Profile</t>
  </si>
  <si>
    <t>Investment per Store</t>
  </si>
  <si>
    <t xml:space="preserve">PP&amp;E </t>
  </si>
  <si>
    <t>EVA per Store</t>
  </si>
  <si>
    <t>EVA per $1 Sales</t>
  </si>
  <si>
    <t>Charts</t>
  </si>
  <si>
    <t>16B</t>
  </si>
  <si>
    <t>Chart 1:</t>
  </si>
  <si>
    <t>Economic Value Added</t>
  </si>
  <si>
    <t>EVA profile</t>
  </si>
  <si>
    <t>MVA profile</t>
  </si>
  <si>
    <t>Economic Profit</t>
  </si>
  <si>
    <t>2008 to 2016 financial years</t>
  </si>
  <si>
    <t>Increasing EVA drives shareholder value</t>
  </si>
  <si>
    <t>MVA margin</t>
  </si>
  <si>
    <t xml:space="preserve">Two different Economic Profit profiles </t>
  </si>
  <si>
    <t xml:space="preserve">The Warehouse sum of EVA was half of that achieved by Briscoe Group. </t>
  </si>
  <si>
    <t>ROI</t>
  </si>
  <si>
    <t>ROI/WACC</t>
  </si>
  <si>
    <t>Briscoe Group has increased EVA every year since 2011.</t>
  </si>
  <si>
    <t>Last 4 years BRG EVA $103m and just $6m for WHS.</t>
  </si>
  <si>
    <t>Share price</t>
  </si>
  <si>
    <t>Over 9 years BRG EVA is $139m; WHS $77m</t>
  </si>
  <si>
    <t>Over last 4 years BRG EVA is $103m; WHS $6m</t>
  </si>
  <si>
    <t>TSR-COE</t>
  </si>
  <si>
    <t>Over last 3 years BRG EVA is $83m; WHS -$38m</t>
  </si>
  <si>
    <t>MV components</t>
  </si>
  <si>
    <t>Wages to Sales</t>
  </si>
  <si>
    <t>adj EBIT to Sales</t>
  </si>
  <si>
    <t>Chart 1: Data</t>
  </si>
  <si>
    <t>sum 9 yr</t>
  </si>
  <si>
    <t>sum last 3 yr</t>
  </si>
  <si>
    <t>sum last 4 yr</t>
  </si>
  <si>
    <t>Chart 2:</t>
  </si>
  <si>
    <t>Returns above cost of capital</t>
  </si>
  <si>
    <t>Z Energy</t>
  </si>
  <si>
    <t>Returns above Cost of Capital</t>
  </si>
  <si>
    <t>Briscoe Group has increased its return on capital evry year from 2011</t>
  </si>
  <si>
    <t>In 2016 the return exceeded the cost of capital by +12.3%</t>
  </si>
  <si>
    <t>Chart 2: Data</t>
  </si>
  <si>
    <t>Briscoe Group</t>
  </si>
  <si>
    <t>Return v Cost of Capital</t>
  </si>
  <si>
    <t>Excess Returns</t>
  </si>
  <si>
    <r>
      <rPr>
        <b/>
        <sz val="11"/>
        <color theme="3"/>
        <rFont val="Arial Narrow"/>
        <family val="2"/>
      </rPr>
      <t>Briscoe Group</t>
    </r>
    <r>
      <rPr>
        <b/>
        <sz val="11"/>
        <color rgb="FFC00000"/>
        <rFont val="Arial Narrow"/>
        <family val="2"/>
      </rPr>
      <t xml:space="preserve"> v Z Energy</t>
    </r>
  </si>
  <si>
    <t>2013-2018</t>
  </si>
  <si>
    <t>Returns are twice cost of capital: FIFO or LIFO</t>
  </si>
  <si>
    <t>Post Caltex Z outperforms Briscoe</t>
  </si>
  <si>
    <t>Corporate return on capital = NOPAT divided by Operating Capital</t>
  </si>
  <si>
    <t>Excess returns = corporate return less cost of capital (asset beta 0.8). FIFO basis</t>
  </si>
  <si>
    <t>Sources: company reports and announcements, IWA</t>
  </si>
  <si>
    <t>HC Return on Capital</t>
  </si>
  <si>
    <t>Z Return on Capital</t>
  </si>
  <si>
    <t>RC Return on Capital</t>
  </si>
  <si>
    <t>Briscoe Return on Capital</t>
  </si>
  <si>
    <t>Chart 3:</t>
  </si>
  <si>
    <t>Excess Profits</t>
  </si>
  <si>
    <t>Caltex acquisition scales up economic profits</t>
  </si>
  <si>
    <t>Millions of Dollars</t>
  </si>
  <si>
    <t>Economic profit = return x operating capital; no adjustments for synergy gains and 10 months Caltex; FIFO</t>
  </si>
  <si>
    <t>Chart 3: Data</t>
  </si>
  <si>
    <t>Economic value added</t>
  </si>
  <si>
    <t>Chart 6:</t>
  </si>
  <si>
    <t>Sales Growth</t>
  </si>
  <si>
    <t>The return has averaged +5.9% pa over the last 9 years.</t>
  </si>
  <si>
    <t>2013 affected by acquisitions</t>
  </si>
  <si>
    <t>Same store needed</t>
  </si>
  <si>
    <t>Chart 6: Data</t>
  </si>
  <si>
    <t>Chart ??: Capital</t>
  </si>
  <si>
    <t>growth rate</t>
  </si>
  <si>
    <t>NA</t>
  </si>
  <si>
    <t>Chart 7:</t>
  </si>
  <si>
    <t>Market Value Added swing $676m!</t>
  </si>
  <si>
    <t>Chart 7: Data</t>
  </si>
  <si>
    <t>estimate</t>
  </si>
  <si>
    <t xml:space="preserve">Market Value </t>
  </si>
  <si>
    <t>WHS less BRG</t>
  </si>
  <si>
    <t>swing</t>
  </si>
  <si>
    <t>Chart 8:</t>
  </si>
  <si>
    <t>MVA and EVA</t>
  </si>
  <si>
    <t>EVA drives MVA</t>
  </si>
  <si>
    <t>Chart 8: Data</t>
  </si>
  <si>
    <t>Chart 9:</t>
  </si>
  <si>
    <t>Chart 9: Data</t>
  </si>
  <si>
    <t>Chart 10:</t>
  </si>
  <si>
    <t>Chart 10: Data</t>
  </si>
  <si>
    <t>years</t>
  </si>
  <si>
    <t>TSR pa ave.</t>
  </si>
  <si>
    <t>over x years</t>
  </si>
  <si>
    <t>financial years</t>
  </si>
  <si>
    <t>Chart 11</t>
  </si>
  <si>
    <t>Total Shareholder Returns</t>
  </si>
  <si>
    <t>Chart 12: Data</t>
  </si>
  <si>
    <t xml:space="preserve">Briscoe </t>
  </si>
  <si>
    <t xml:space="preserve">  TSR</t>
  </si>
  <si>
    <t xml:space="preserve">  Cost of Equity</t>
  </si>
  <si>
    <t xml:space="preserve">Chart 13: </t>
  </si>
  <si>
    <t>Sales and EVA over 9 Years</t>
  </si>
  <si>
    <t xml:space="preserve">9  years of Sales and EVA </t>
  </si>
  <si>
    <t>Sales sum 2008-2016</t>
  </si>
  <si>
    <t>EVA sum 2006-2016</t>
  </si>
  <si>
    <r>
      <rPr>
        <b/>
        <sz val="11"/>
        <rFont val="Arial Narrow"/>
        <family val="2"/>
      </rPr>
      <t>EVA Margin</t>
    </r>
    <r>
      <rPr>
        <sz val="11"/>
        <rFont val="Arial Narrow"/>
        <family val="2"/>
      </rPr>
      <t xml:space="preserve"> (9 year average)</t>
    </r>
  </si>
  <si>
    <t>Chart 14:</t>
  </si>
  <si>
    <t>Valuation Components</t>
  </si>
  <si>
    <t>Chart 14: Data</t>
  </si>
  <si>
    <t>Future Value Added</t>
  </si>
  <si>
    <t>Chart 15:</t>
  </si>
  <si>
    <t>Chart 15: Data</t>
  </si>
  <si>
    <t>Chart 16:</t>
  </si>
  <si>
    <t>Franchise Value (MVA)</t>
  </si>
  <si>
    <t>Franchise Value  (MVA) Metrics</t>
  </si>
  <si>
    <t>MVA % Market Value</t>
  </si>
  <si>
    <t>MVA % Sales</t>
  </si>
  <si>
    <t>Chart 17: WHS</t>
  </si>
  <si>
    <t>Market Value and Capital</t>
  </si>
  <si>
    <t>Chart 17: Data</t>
  </si>
  <si>
    <t>Chart 18: BRG</t>
  </si>
  <si>
    <t>Chart 18: Data</t>
  </si>
  <si>
    <t>Chart 19:</t>
  </si>
  <si>
    <t>Chart 19: Data</t>
  </si>
  <si>
    <t xml:space="preserve">MVA Margin </t>
  </si>
  <si>
    <t>BRG</t>
  </si>
  <si>
    <t>Chart 20:</t>
  </si>
  <si>
    <t>Wages, Salaries, etc. to Sales</t>
  </si>
  <si>
    <t>Chart 20: Data</t>
  </si>
  <si>
    <t>Chart 21:</t>
  </si>
  <si>
    <t>Adjusted EBIT to Sales</t>
  </si>
  <si>
    <t>Chart 21: Data</t>
  </si>
  <si>
    <t>Chart 22:</t>
  </si>
  <si>
    <t>Net Working Capital to Sales</t>
  </si>
  <si>
    <t>Chart 22 Data</t>
  </si>
  <si>
    <t>Chart 23:</t>
  </si>
  <si>
    <t>Net Working Capital to Capital</t>
  </si>
  <si>
    <t>Chart 23: Data</t>
  </si>
  <si>
    <t>Chart 24:</t>
  </si>
  <si>
    <t>Chart 24: Data</t>
  </si>
  <si>
    <t>Chart 25:</t>
  </si>
  <si>
    <t>Accounts Payables DOH</t>
  </si>
  <si>
    <t>Chart 25: Data</t>
  </si>
  <si>
    <t>Chart 26: WHS</t>
  </si>
  <si>
    <t>Operating Assets</t>
  </si>
  <si>
    <t>Chart 26: Data</t>
  </si>
  <si>
    <t>Chart 27: WHS</t>
  </si>
  <si>
    <t>Chart 27: Data</t>
  </si>
  <si>
    <t>percentage</t>
  </si>
  <si>
    <t>Chart 28: BRG</t>
  </si>
  <si>
    <t>Chart 28: Data</t>
  </si>
  <si>
    <t>Chart 29: BRG</t>
  </si>
  <si>
    <t>Chart 29: Data</t>
  </si>
  <si>
    <t>Chart 30: WHS and BRG</t>
  </si>
  <si>
    <t>Chart 30: Data</t>
  </si>
  <si>
    <t>Chart X:</t>
  </si>
  <si>
    <t>spare</t>
  </si>
  <si>
    <t>Date stamp:</t>
  </si>
  <si>
    <t xml:space="preserve">Ireland, Wallace &amp; Associates </t>
  </si>
  <si>
    <t>Red</t>
  </si>
  <si>
    <t>Line</t>
  </si>
  <si>
    <t>2pts</t>
  </si>
  <si>
    <t>Date today:</t>
  </si>
  <si>
    <t>230,0,25</t>
  </si>
  <si>
    <t>Background</t>
  </si>
  <si>
    <t>Source:</t>
  </si>
  <si>
    <t>Source: NZX</t>
  </si>
  <si>
    <t>Blue</t>
  </si>
  <si>
    <t>2008 to 2016</t>
  </si>
  <si>
    <t>The Warehouse v. Briscoe</t>
  </si>
  <si>
    <t>Financial years</t>
  </si>
  <si>
    <t>Thousand of Dollars</t>
  </si>
  <si>
    <t>Est. 2017</t>
  </si>
  <si>
    <t>Forecast</t>
  </si>
  <si>
    <t>M^2 per Store</t>
  </si>
  <si>
    <t>Sales per M^2</t>
  </si>
  <si>
    <t>Assets per Store</t>
  </si>
  <si>
    <t>EVA Margin per Store</t>
  </si>
  <si>
    <t>MV and MVA per Store</t>
  </si>
  <si>
    <t>Average Store Metrics</t>
  </si>
  <si>
    <t>and Group Capital Composition</t>
  </si>
  <si>
    <t>Per store</t>
  </si>
  <si>
    <t>$000</t>
  </si>
  <si>
    <t>Per m^2</t>
  </si>
  <si>
    <t>Fonts and Size</t>
  </si>
  <si>
    <t>Name</t>
  </si>
  <si>
    <t>Arial Narrow</t>
  </si>
  <si>
    <t>NZX Code</t>
  </si>
  <si>
    <t>0-90-158</t>
  </si>
  <si>
    <t>255-205-47</t>
  </si>
  <si>
    <t>Economist Chart Stlye</t>
  </si>
  <si>
    <t>R</t>
  </si>
  <si>
    <t>G</t>
  </si>
  <si>
    <t>Font</t>
  </si>
  <si>
    <t>Ecotype</t>
  </si>
  <si>
    <t>Axis</t>
  </si>
  <si>
    <t>Marker</t>
  </si>
  <si>
    <t>Light blue</t>
  </si>
  <si>
    <t>Medium blue</t>
  </si>
  <si>
    <t>Dark blue</t>
  </si>
  <si>
    <t>Derivative Financial Inst.</t>
  </si>
  <si>
    <t>Accum. Depreciation</t>
  </si>
  <si>
    <t>Minorities/Options Vested</t>
  </si>
  <si>
    <t>Adj. Accounting ex Reval.</t>
  </si>
  <si>
    <t>Derivative Operating (net)</t>
  </si>
  <si>
    <t>P&amp;P</t>
  </si>
  <si>
    <t>Revaluations actual</t>
  </si>
  <si>
    <t>Revaluations reversal</t>
  </si>
  <si>
    <t>Accum. Depreciation Revaluation</t>
  </si>
  <si>
    <t>Total Depreciation</t>
  </si>
  <si>
    <t>Derivative Financial (net)</t>
  </si>
  <si>
    <t>Deferred Tax reversal</t>
  </si>
  <si>
    <t>Deferred Tax tax change 2007</t>
  </si>
  <si>
    <t>Deferred Tax tax change 2010</t>
  </si>
  <si>
    <t>Deferred Tax tax change 2011</t>
  </si>
  <si>
    <t>Deferred Tax Tekapo A&amp;B</t>
  </si>
  <si>
    <t>Revaluation Reserve adj 1999-05</t>
  </si>
  <si>
    <t>Revaluation Reserve adj 2006-10</t>
  </si>
  <si>
    <t>Revaluation Reserve adj tax change</t>
  </si>
  <si>
    <t>Revaluation Reserve adj other</t>
  </si>
  <si>
    <t>Notes</t>
  </si>
  <si>
    <t>PP&amp;E with Revaluation</t>
  </si>
  <si>
    <t>PP&amp;E(incl Reval)</t>
  </si>
  <si>
    <t>PP&amp;E(excl Reval)</t>
  </si>
  <si>
    <t>PP&amp;E for FINANSEER</t>
  </si>
  <si>
    <t>Revaluation reversal</t>
  </si>
  <si>
    <t xml:space="preserve"> - accum Dep actual</t>
  </si>
  <si>
    <t xml:space="preserve"> + accum Dep reval</t>
  </si>
  <si>
    <t>NPP&amp;E</t>
  </si>
  <si>
    <t>Depreciation Revaluation Actual to 2007</t>
  </si>
  <si>
    <t>Depreciation Revaluation Imputed 2008-11</t>
  </si>
  <si>
    <t>Underlying Depreciation</t>
  </si>
  <si>
    <t>input</t>
  </si>
  <si>
    <t>cum Revaluation Depreciation</t>
  </si>
  <si>
    <r>
      <t xml:space="preserve">Underlying </t>
    </r>
    <r>
      <rPr>
        <i/>
        <sz val="10"/>
        <rFont val="Arial MT"/>
      </rPr>
      <t>Gross PP&amp;E</t>
    </r>
  </si>
  <si>
    <r>
      <t xml:space="preserve">Underlying Dep/Ave </t>
    </r>
    <r>
      <rPr>
        <i/>
        <sz val="10"/>
        <rFont val="Arial MT"/>
      </rPr>
      <t>Gross PP&amp;E</t>
    </r>
  </si>
  <si>
    <t>Depreciation Notes</t>
  </si>
  <si>
    <t>Income Approach</t>
  </si>
  <si>
    <t>ECNZ Book Value</t>
  </si>
  <si>
    <t>Revaluation from 1 April 1999</t>
  </si>
  <si>
    <t>Depreciated Revaluation component</t>
  </si>
  <si>
    <t>(gain)</t>
  </si>
  <si>
    <t>incremental %</t>
  </si>
  <si>
    <t>cum Revaluation</t>
  </si>
  <si>
    <t>Total Depreciation/Amortisation of Revaluation</t>
  </si>
  <si>
    <t>Revaluation from 30 June 2003</t>
  </si>
  <si>
    <t>Southern Hydro PP&amp;E</t>
  </si>
  <si>
    <t>Revaluation from 30 June 2006</t>
  </si>
  <si>
    <t>Revaluation from 30 June 2007</t>
  </si>
  <si>
    <t>Balance Sheet Approach</t>
  </si>
  <si>
    <t>Changes in Equity</t>
  </si>
  <si>
    <t>Beginning</t>
  </si>
  <si>
    <t>Profit a/tax Shareholders</t>
  </si>
  <si>
    <t>FEC's reclassified to P&amp;L</t>
  </si>
  <si>
    <t>Controlled Enities</t>
  </si>
  <si>
    <t>Corporate Tax Rate Deferred Tax</t>
  </si>
  <si>
    <t>Deferred Tax Tekapo A&amp;B Sale</t>
  </si>
  <si>
    <t>Shares Issued</t>
  </si>
  <si>
    <t>Income Tax Comprehensive Inc.</t>
  </si>
  <si>
    <t>Share Options</t>
  </si>
  <si>
    <t>End of Year</t>
  </si>
  <si>
    <t>Changes in Deferred Tax</t>
  </si>
  <si>
    <t>Deferred Tax Detail</t>
  </si>
  <si>
    <t>Opening Balance</t>
  </si>
  <si>
    <t>Disposal Subsidiary</t>
  </si>
  <si>
    <t>unusual</t>
  </si>
  <si>
    <t>Closing</t>
  </si>
  <si>
    <t>Post IFRS Opening</t>
  </si>
  <si>
    <t>Acquistion of Subsidiary</t>
  </si>
  <si>
    <t>Tekapo A&amp;B Sale Effect</t>
  </si>
  <si>
    <t>Revaluation Reserve Tax Rate adj</t>
  </si>
  <si>
    <t xml:space="preserve">Deferred Tax Asset offset Note 21 2008  </t>
  </si>
  <si>
    <t>??</t>
  </si>
  <si>
    <t>Tax Depreciation change</t>
  </si>
  <si>
    <t>reduce tax and reduce Capital Def T to normalise</t>
  </si>
  <si>
    <t>IFRS adjustment</t>
  </si>
  <si>
    <t>Net DT</t>
  </si>
  <si>
    <t>note 21 2008</t>
  </si>
  <si>
    <t>Deferred Tax &amp; Equity excl. Reval</t>
  </si>
  <si>
    <t>actual</t>
  </si>
  <si>
    <t>Non-operating Deferred Tax</t>
  </si>
  <si>
    <t>Adj Deferred Tax Operating</t>
  </si>
  <si>
    <t>PP&amp;E Revaluations</t>
  </si>
  <si>
    <t>Deferred Tax Non-operating</t>
  </si>
  <si>
    <t>Deferred Tax Operating</t>
  </si>
  <si>
    <t>Delta DT Operating</t>
  </si>
  <si>
    <t>Revaluation Reserves</t>
  </si>
  <si>
    <t>Total DF+Revaluation Reserve</t>
  </si>
  <si>
    <t>Deferred Tax actual/Revaluation Reserves</t>
  </si>
  <si>
    <t>Deferred Tax actual/PP&amp;E Revaluations</t>
  </si>
  <si>
    <t>Nominal Tax rate, say</t>
  </si>
  <si>
    <t>Inferred Deferred Tax at nominal tax rate</t>
  </si>
  <si>
    <t>Non-revaluation related Deferred Tax</t>
  </si>
  <si>
    <t>Current Tax rate, say</t>
  </si>
  <si>
    <t>Inferred Deferred Tax at current tax rate</t>
  </si>
  <si>
    <t>Deferred Tax adj change in corporate rate</t>
  </si>
  <si>
    <t>Revaluation Analysis</t>
  </si>
  <si>
    <t xml:space="preserve"> 1-July-06</t>
  </si>
  <si>
    <t>change 2007</t>
  </si>
  <si>
    <t>Note 7</t>
  </si>
  <si>
    <t>Corp tax rate ch</t>
  </si>
  <si>
    <t>Reval</t>
  </si>
  <si>
    <t>Dtax</t>
  </si>
  <si>
    <t>chge 06-07</t>
  </si>
  <si>
    <t>Equity residual</t>
  </si>
  <si>
    <t>Revaluation Reversals</t>
  </si>
  <si>
    <t>Effective Tax rate valuation, say</t>
  </si>
  <si>
    <t>PP&amp;E Valuations reversed</t>
  </si>
  <si>
    <t>assets</t>
  </si>
  <si>
    <t>Reserve Revaluations reversed</t>
  </si>
  <si>
    <t>equity</t>
  </si>
  <si>
    <t>deferred tax</t>
  </si>
  <si>
    <t>rate</t>
  </si>
  <si>
    <t>Deferred T</t>
  </si>
  <si>
    <t>tax rates</t>
  </si>
  <si>
    <t>Res Reval</t>
  </si>
  <si>
    <t>Deferred Tax Reversal</t>
  </si>
  <si>
    <t>Adjusted Deferred Tax</t>
  </si>
  <si>
    <t>reverse</t>
  </si>
  <si>
    <t>change before tax changes</t>
  </si>
  <si>
    <t>Deferred Tax as per accts</t>
  </si>
  <si>
    <t>Deferred tax 1-7-2006 as at 2005 y/e</t>
  </si>
  <si>
    <t>2007 IFRS Transition effect</t>
  </si>
  <si>
    <t>Tax rate</t>
  </si>
  <si>
    <t>Residual Deferred Tax</t>
  </si>
  <si>
    <t>Change in Deferred Tax</t>
  </si>
  <si>
    <t>33% to 30%</t>
  </si>
  <si>
    <t>30% to 28%</t>
  </si>
  <si>
    <t>Add back tax rate adjust. 2007</t>
  </si>
  <si>
    <t>Add back tax rate adjust. 2010</t>
  </si>
  <si>
    <t>Add back tax rate adjust. 2011</t>
  </si>
  <si>
    <t>Unadjusted Deferred Tax 33%</t>
  </si>
  <si>
    <t>Restate Deferred Tax at 28%</t>
  </si>
  <si>
    <t>Total adj Deferred Tax</t>
  </si>
  <si>
    <t>Change in adj Deferred Tax</t>
  </si>
  <si>
    <t>IS Notes</t>
  </si>
  <si>
    <t>Deferred Tax tax change 2012</t>
  </si>
  <si>
    <t>Deferred Tax tax change 2013</t>
  </si>
  <si>
    <t>Gross PP&amp;E(incl Reval)</t>
  </si>
  <si>
    <t>PP&amp;E Historic Cost basis</t>
  </si>
  <si>
    <t>Depreciation Revaluation Imputed 2008-13</t>
  </si>
  <si>
    <t>Deferred Tax Asset actual</t>
  </si>
  <si>
    <t>Unused Tax Losses</t>
  </si>
  <si>
    <t>Deferred Tax Liabilities actual</t>
  </si>
  <si>
    <t>Temporary Differences</t>
  </si>
  <si>
    <t>Depreciation/amortisation</t>
  </si>
  <si>
    <t>Other Payables/receivables</t>
  </si>
  <si>
    <t>Revaluation Reserve Movements</t>
  </si>
  <si>
    <t>Made up of:</t>
  </si>
  <si>
    <r>
      <t xml:space="preserve">Stephen and Rod shootout 2008 to 2017: </t>
    </r>
    <r>
      <rPr>
        <i/>
        <sz val="20"/>
        <rFont val="Franklin Gothic Demi Cond"/>
        <family val="2"/>
      </rPr>
      <t>the winner is...</t>
    </r>
  </si>
  <si>
    <t>Chart 1</t>
  </si>
  <si>
    <t>Chart 2</t>
  </si>
  <si>
    <t>Chart 3</t>
  </si>
  <si>
    <t>Chart 4</t>
  </si>
  <si>
    <t>Chart 5</t>
  </si>
  <si>
    <t>Chart 6</t>
  </si>
  <si>
    <t>Chart 7</t>
  </si>
  <si>
    <t>Chart 8</t>
  </si>
  <si>
    <t>Chart 9</t>
  </si>
  <si>
    <t>Chart 10</t>
  </si>
  <si>
    <t>Chart 12</t>
  </si>
  <si>
    <t>Chart 13</t>
  </si>
  <si>
    <t>Chart 14</t>
  </si>
  <si>
    <t>The Warehouse Group      xx</t>
  </si>
  <si>
    <t>Metrics</t>
  </si>
  <si>
    <t>Market Value (Enterprise)</t>
  </si>
  <si>
    <t xml:space="preserve">   change MVA</t>
  </si>
  <si>
    <t xml:space="preserve">   MVA Spread</t>
  </si>
  <si>
    <t xml:space="preserve">   MV/Capital Ratio</t>
  </si>
  <si>
    <t xml:space="preserve">   Capital average</t>
  </si>
  <si>
    <t xml:space="preserve">   Economic Profit Spread</t>
  </si>
  <si>
    <t>last 3 years</t>
  </si>
  <si>
    <t xml:space="preserve">   Return on Capital (ROI)</t>
  </si>
  <si>
    <t xml:space="preserve">   WACC</t>
  </si>
  <si>
    <t xml:space="preserve">   Investment</t>
  </si>
  <si>
    <t xml:space="preserve">   FCF</t>
  </si>
  <si>
    <t xml:space="preserve">   FCF Generation</t>
  </si>
  <si>
    <t xml:space="preserve">Future Growth Reliance (FGR) </t>
  </si>
  <si>
    <t>Value Added Split</t>
  </si>
  <si>
    <t>Total Market Value</t>
  </si>
  <si>
    <t>absent FX adj</t>
  </si>
  <si>
    <t>$NZ</t>
  </si>
  <si>
    <t>FX NZ US</t>
  </si>
  <si>
    <t>Avg/sum</t>
  </si>
  <si>
    <t>A simple example:</t>
  </si>
  <si>
    <t>Economic Profit (EVA)</t>
  </si>
  <si>
    <t>Operating costs</t>
  </si>
  <si>
    <t>Capital charge</t>
  </si>
  <si>
    <t>ROIC</t>
  </si>
  <si>
    <t>EVA profit</t>
  </si>
  <si>
    <t>Cost of debt a/tax</t>
  </si>
  <si>
    <t>Cost of equity</t>
  </si>
  <si>
    <t>Derived accounting profit</t>
  </si>
  <si>
    <t>Return on equity</t>
  </si>
  <si>
    <t>EBT</t>
  </si>
  <si>
    <t>Return on Enterprise Value</t>
  </si>
  <si>
    <t>EAT</t>
  </si>
  <si>
    <t>ROACE</t>
  </si>
  <si>
    <t>Briscoe Group Limited</t>
  </si>
  <si>
    <t>2015 Briscoe Data Sheet_8.xlsx</t>
  </si>
  <si>
    <t xml:space="preserve">EVA MVA Charts </t>
  </si>
  <si>
    <t>Ebay</t>
  </si>
  <si>
    <t>Trade Me</t>
  </si>
  <si>
    <t>Kathmandu</t>
  </si>
  <si>
    <t>Wal-Mart</t>
  </si>
  <si>
    <t>Amazon</t>
  </si>
  <si>
    <t>SuperValu</t>
  </si>
  <si>
    <t>Whole Foods</t>
  </si>
  <si>
    <t>Koninklijke Ahold</t>
  </si>
  <si>
    <t>Tesco</t>
  </si>
  <si>
    <t>Target</t>
  </si>
  <si>
    <t>Wesfarmers</t>
  </si>
  <si>
    <t>Woolworths</t>
  </si>
  <si>
    <t>Harvey Norman</t>
  </si>
  <si>
    <t>Fletcher Building</t>
  </si>
  <si>
    <t>Best Buy</t>
  </si>
  <si>
    <t>JB Hi-Fi</t>
  </si>
  <si>
    <t>Staples</t>
  </si>
  <si>
    <t>United Stationers</t>
  </si>
  <si>
    <t>Michael Hill</t>
  </si>
  <si>
    <t>Tiffany</t>
  </si>
  <si>
    <t>Walgrees Boots</t>
  </si>
  <si>
    <t>Software + Cwip</t>
  </si>
  <si>
    <t>Carbon Emission Units</t>
  </si>
  <si>
    <t>Intangibles Assets</t>
  </si>
  <si>
    <t>Term Payables/Other</t>
  </si>
  <si>
    <t>Share Option/Based Reserve</t>
  </si>
  <si>
    <t>Net Gain on Cash Flow Hedges (net of tax)</t>
  </si>
  <si>
    <t>PP&amp;E Net Book Value</t>
  </si>
  <si>
    <t>Leased Asset</t>
  </si>
  <si>
    <t>Change in Share Capital</t>
  </si>
  <si>
    <t>Investment JV/Associate/Advance Associate</t>
  </si>
  <si>
    <t>Total Hedge Assets</t>
  </si>
  <si>
    <t>Net Hedges</t>
  </si>
  <si>
    <t>Fair Value Adjustments to Borrowings</t>
  </si>
  <si>
    <t>LPG</t>
  </si>
  <si>
    <t>Profit Net Discontinued Activities</t>
  </si>
  <si>
    <t>Gain Sale Rockgas and AGS</t>
  </si>
  <si>
    <t>Profit Discontinued Activities</t>
  </si>
  <si>
    <t>Continuing  Activities</t>
  </si>
  <si>
    <t>Energy Purchases, Net of Hedging</t>
  </si>
  <si>
    <t>Asset Sales</t>
  </si>
  <si>
    <t>Total Discontinued Activities</t>
  </si>
  <si>
    <t>Net Gain on Cash Flow Hedges (net of tax) Discontinued</t>
  </si>
  <si>
    <t>Significant Items</t>
  </si>
  <si>
    <t>Tax on Significant Items</t>
  </si>
  <si>
    <t>Holiday Act Non-compliance</t>
  </si>
  <si>
    <t>Prov for Doubtful Debts/Credit Loss Allowance/Impairments</t>
  </si>
  <si>
    <t>Movement Provisions</t>
  </si>
  <si>
    <t>Acquisition of Energyclubnz</t>
  </si>
  <si>
    <t>Sale of Assets/Operations/Other Assets (net of tax)</t>
  </si>
  <si>
    <t>Licences/Gas Storage Rights</t>
  </si>
  <si>
    <t>Other Receivables</t>
  </si>
  <si>
    <t>Other Land &amp; Buildings</t>
  </si>
  <si>
    <t>Other Plant, Property &amp; Equipment/Leased A</t>
  </si>
  <si>
    <t>Other L&amp;B/P&amp;E</t>
  </si>
  <si>
    <t>C&amp;I Electricity</t>
  </si>
  <si>
    <t>Transition Costs</t>
  </si>
  <si>
    <t>Write-down Gas Inventory</t>
  </si>
  <si>
    <t>Investment/Assets for Sale</t>
  </si>
  <si>
    <t>Continuing Profit After Tax/Underlying Profit</t>
  </si>
  <si>
    <t>Retail Electricity</t>
  </si>
  <si>
    <t>Gas Storage</t>
  </si>
  <si>
    <t>Financial Position Restatement</t>
  </si>
  <si>
    <t>Gain Sale Rockgas and AGS pr-tax</t>
  </si>
  <si>
    <t>Change in Fair Value Financial Instruments</t>
  </si>
  <si>
    <t>Remediation Holidays Act</t>
  </si>
  <si>
    <t>Comprising</t>
  </si>
  <si>
    <t>Total Net Intangibles/Goodwill</t>
  </si>
  <si>
    <t>Amortisation Details</t>
  </si>
  <si>
    <t>Total Amortisation</t>
  </si>
  <si>
    <t xml:space="preserve">Intangibles </t>
  </si>
  <si>
    <t>Gas, LPG &amp; Diesel Purchases</t>
  </si>
  <si>
    <t>Write-down Inventory Gas</t>
  </si>
  <si>
    <t>roundings</t>
  </si>
  <si>
    <t>Significant Items after Tax</t>
  </si>
  <si>
    <t>Write-down Ineventory Gas</t>
  </si>
  <si>
    <t>Gain on Sale Fixed Assets</t>
  </si>
  <si>
    <t>Gain Sale PP&amp;E</t>
  </si>
  <si>
    <t>Total Selected Non-cash Items</t>
  </si>
  <si>
    <t>Exit Otahuhu &amp; Oakey Power</t>
  </si>
  <si>
    <t>Provisions Restoration/Envir/Rehab</t>
  </si>
  <si>
    <t>Provisions Other</t>
  </si>
  <si>
    <t>Cash Flow Hedge Reserve/FX Translation</t>
  </si>
  <si>
    <t xml:space="preserve">Depreciation/Impairment Details </t>
  </si>
  <si>
    <t>Financial Instruments Non-cash Items</t>
  </si>
  <si>
    <t>Sept</t>
  </si>
  <si>
    <t>9 months</t>
  </si>
  <si>
    <t>12 months</t>
  </si>
  <si>
    <t>1 October 2004 deemed historical cost</t>
  </si>
  <si>
    <t>Deemed cost</t>
  </si>
  <si>
    <t>Total Operating Lease Income</t>
  </si>
  <si>
    <t>Total Depreciation, Amortisation &amp; Impairments</t>
  </si>
  <si>
    <t>Profit Discontinued Operations</t>
  </si>
  <si>
    <t>Composition</t>
  </si>
  <si>
    <t>Total Change in Fair Value of Financial Instruments</t>
  </si>
  <si>
    <t>Inc. Stat.</t>
  </si>
  <si>
    <t>Other Significant Items</t>
  </si>
  <si>
    <t>Restructure Costs</t>
  </si>
  <si>
    <t>Exit Oakey Power Investment</t>
  </si>
  <si>
    <t>Gas Meter Asset Sale</t>
  </si>
  <si>
    <t>Gain Gas Storage Restructure</t>
  </si>
  <si>
    <t>Clutha Asset Impairment/Land Sales</t>
  </si>
  <si>
    <t>Reinststement Tax Depeciation Power Stations</t>
  </si>
  <si>
    <t>Decommissioning New Plymouth Power Station/Sale</t>
  </si>
  <si>
    <t>Gain Sale Rockgas (discontinued)</t>
  </si>
  <si>
    <t>Gain Sale AGS Facility</t>
  </si>
  <si>
    <t xml:space="preserve">Annual Reports - 1996 to 2021 </t>
  </si>
  <si>
    <t>The worksheets summarise Contact Energy Limited's ("CEN") accounting statements and notes from 2011 (and since separation from the</t>
  </si>
  <si>
    <t>The worksheets collates, organises and summarises CEN data primarily from annual reports.</t>
  </si>
  <si>
    <t>"Profit to Operating Cash Flows"</t>
  </si>
  <si>
    <t>Worksheets:</t>
  </si>
  <si>
    <t>Notes and Adjustments</t>
  </si>
  <si>
    <t>Adjustments to Convert Accounting to Economic Information</t>
  </si>
  <si>
    <t xml:space="preserve">Prepared by Garth Ireland of Ireland, Wallace &amp; Associates Limited </t>
  </si>
  <si>
    <t xml:space="preserve">for The Major Electricity Users' Group. </t>
  </si>
  <si>
    <t>Total Deferred Tax Assets</t>
  </si>
  <si>
    <t>NZX Data</t>
  </si>
  <si>
    <t>Net Fixed Assets</t>
  </si>
  <si>
    <t>Generation PP&amp;E</t>
  </si>
  <si>
    <r>
      <t xml:space="preserve">A </t>
    </r>
    <r>
      <rPr>
        <u/>
        <sz val="12"/>
        <rFont val="Arial MT"/>
      </rPr>
      <t>Disclaimer Statemen</t>
    </r>
    <r>
      <rPr>
        <sz val="12"/>
        <rFont val="Arial MT"/>
      </rPr>
      <t>t is set out on the following page.</t>
    </r>
  </si>
  <si>
    <t>Share &amp; Dividend Data and Metrics</t>
  </si>
  <si>
    <t>Data Narrative and Adjustments</t>
  </si>
  <si>
    <t>Analysis</t>
  </si>
  <si>
    <t>Pre-tax Significant Items</t>
  </si>
  <si>
    <t>Less Tax</t>
  </si>
  <si>
    <t>Significant Items After Tax</t>
  </si>
  <si>
    <t>Accounts Receivable/Prepa/Unbilled</t>
  </si>
  <si>
    <t>Other Receivables/Assets</t>
  </si>
  <si>
    <t>June 9 mths</t>
  </si>
  <si>
    <t>Generation</t>
  </si>
  <si>
    <t>June 2010 deemed historical cost</t>
  </si>
  <si>
    <t>Revaluation/Gross Generation</t>
  </si>
  <si>
    <t>Net Generation</t>
  </si>
  <si>
    <t>Depreciation Revaluations</t>
  </si>
  <si>
    <t>Depreciation Historic Cost</t>
  </si>
  <si>
    <t>Total Generation Depreciation</t>
  </si>
  <si>
    <t>deemed HC</t>
  </si>
  <si>
    <t>Cost Model incl. CWIP</t>
  </si>
  <si>
    <t>Otahuhu Closure &amp; Sale</t>
  </si>
  <si>
    <t>Gain Sale Rockgas</t>
  </si>
  <si>
    <t>Cumulative Significant Items after Tax</t>
  </si>
  <si>
    <t>Deemed Historic Cost</t>
  </si>
  <si>
    <t>adjusted &amp; 11 mths</t>
  </si>
  <si>
    <t>Total Depreciation PP&amp;E Expense</t>
  </si>
  <si>
    <t xml:space="preserve">Difference Net to Gross </t>
  </si>
  <si>
    <t>Assets at Deemed Book Value</t>
  </si>
  <si>
    <t>Net Fixed Assets (Deemed Historic Cost)</t>
  </si>
  <si>
    <t>Historic Cost Model Disclosure</t>
  </si>
  <si>
    <t>Tax Rate %</t>
  </si>
  <si>
    <t>Significant Items in Income Statement</t>
  </si>
  <si>
    <t>Pre-tax</t>
  </si>
  <si>
    <t>A6</t>
  </si>
  <si>
    <t>E2</t>
  </si>
  <si>
    <t>Cost of Capital, Share &amp; Dividend Metrics</t>
  </si>
  <si>
    <t>Year to June</t>
  </si>
  <si>
    <t>Beg</t>
  </si>
  <si>
    <t>End</t>
  </si>
  <si>
    <t>3 year lagged average</t>
  </si>
  <si>
    <t>Debt Margin</t>
  </si>
  <si>
    <t>Leverage (Target)</t>
  </si>
  <si>
    <t>Tax Rates Tc Ti</t>
  </si>
  <si>
    <t>Asset beta</t>
  </si>
  <si>
    <t>TAMRP</t>
  </si>
  <si>
    <t>Rf</t>
  </si>
  <si>
    <t>10-year Beg.</t>
  </si>
  <si>
    <t>Debt premium</t>
  </si>
  <si>
    <t>Leverage</t>
  </si>
  <si>
    <t>Ba</t>
  </si>
  <si>
    <t>Bd</t>
  </si>
  <si>
    <t>Tc</t>
  </si>
  <si>
    <t>Ti</t>
  </si>
  <si>
    <t>Be</t>
  </si>
  <si>
    <t>Ke (cost of equity)</t>
  </si>
  <si>
    <t>WACC nominal post tax</t>
  </si>
  <si>
    <t>rounded</t>
  </si>
  <si>
    <t>Contact's WACC</t>
  </si>
  <si>
    <t>6 to 7%</t>
  </si>
  <si>
    <t>Share &amp; Dividend Metrics</t>
  </si>
  <si>
    <t>Share Price (y/end)</t>
  </si>
  <si>
    <t>Earnings per Share</t>
  </si>
  <si>
    <t>cps</t>
  </si>
  <si>
    <t>c</t>
  </si>
  <si>
    <t>Dividends Paid</t>
  </si>
  <si>
    <t>Declared</t>
  </si>
  <si>
    <t>Interim &amp; Special</t>
  </si>
  <si>
    <t>Final &amp; Special</t>
  </si>
  <si>
    <t>Dividends Declared not Recognised as a Liability</t>
  </si>
  <si>
    <t>Final</t>
  </si>
  <si>
    <t>Special</t>
  </si>
  <si>
    <t>Imputation Credits</t>
  </si>
  <si>
    <t>Shares Issued and Capital</t>
  </si>
  <si>
    <t>No. of Shares</t>
  </si>
  <si>
    <t>Treasury Shares Held</t>
  </si>
  <si>
    <t>Diluted Weighted Ave.</t>
  </si>
  <si>
    <t>Share capital</t>
  </si>
  <si>
    <t>Included in Inc. St. but not in Significant Items</t>
  </si>
  <si>
    <t>Included in Inc. St. (after tax) but not in Significant Items</t>
  </si>
  <si>
    <t>Other Significant Items after Tax</t>
  </si>
  <si>
    <t>CWIP Impairment</t>
  </si>
  <si>
    <t>Source: Annual Reports                                 $'000</t>
  </si>
  <si>
    <t>NBV at Deemed Historic Cost</t>
  </si>
  <si>
    <t>June 21010 deemed historical cost</t>
  </si>
  <si>
    <t>excluded impairment 250,000</t>
  </si>
  <si>
    <t>2007 reversed in 2010</t>
  </si>
  <si>
    <t>401,090 reversed 2010</t>
  </si>
  <si>
    <t>Total  Comprehensive Income</t>
  </si>
  <si>
    <t>Other Significant Items include:</t>
  </si>
  <si>
    <t>exclude Depreciation &amp; Amortisation</t>
  </si>
  <si>
    <t>excludeAmortisation of Contract assets</t>
  </si>
  <si>
    <t>exclude Equity Accounting of Associate/JV</t>
  </si>
  <si>
    <t>exclude Unrealised Net Change Fair Value Financial Instruments</t>
  </si>
  <si>
    <t>A-B</t>
  </si>
  <si>
    <t>"Right of Use Assets" method adopted</t>
  </si>
  <si>
    <t>Source: Annual Reports                           $'000</t>
  </si>
  <si>
    <r>
      <rPr>
        <i/>
        <sz val="8"/>
        <rFont val="Arial MT"/>
      </rPr>
      <t>less</t>
    </r>
    <r>
      <rPr>
        <sz val="8"/>
        <rFont val="Arial MT"/>
      </rPr>
      <t xml:space="preserve"> accum. Depreciation/Amortisation</t>
    </r>
  </si>
  <si>
    <t>PP&amp;E Valuation Basis</t>
  </si>
  <si>
    <t xml:space="preserve">Capex Stay in Business </t>
  </si>
  <si>
    <t>Total PP&amp;E Depreciation</t>
  </si>
  <si>
    <t>a:</t>
  </si>
  <si>
    <t>b:</t>
  </si>
  <si>
    <t>Revaluation/Net PP&amp;E</t>
  </si>
  <si>
    <t>c:</t>
  </si>
  <si>
    <t>10 yr Average (beg + end)</t>
  </si>
  <si>
    <t>Financial Liability Method</t>
  </si>
  <si>
    <r>
      <rPr>
        <b/>
        <i/>
        <sz val="8"/>
        <rFont val="Arial MT"/>
      </rPr>
      <t>Change</t>
    </r>
    <r>
      <rPr>
        <b/>
        <sz val="8"/>
        <rFont val="Arial MT"/>
      </rPr>
      <t xml:space="preserve"> Fair Value Adjustments to Borrowings</t>
    </r>
  </si>
  <si>
    <t>Residual Signifcant Items</t>
  </si>
  <si>
    <t>Gain Rockgas/AGS - discontinued</t>
  </si>
  <si>
    <t>in Finanseer</t>
  </si>
  <si>
    <t>Gain Sale Rockgas and AGS pre-tax</t>
  </si>
  <si>
    <t>Gross Generation Structures &amp; Plant</t>
  </si>
  <si>
    <t>Risk Free Rate (10 year)</t>
  </si>
  <si>
    <t xml:space="preserve">Electricity Corporation of New Zealand Limited in 1996). Some data collected and their reconciliations are incomplete. </t>
  </si>
  <si>
    <t xml:space="preserve">      Separately, the revaluation component of Property, Plant and Equipment has been analysed since 1996.</t>
  </si>
  <si>
    <t>less Impairment</t>
  </si>
  <si>
    <t>Adjusted Total PP&amp;E Depreciation</t>
  </si>
  <si>
    <t>Fixed</t>
  </si>
  <si>
    <t xml:space="preserve">Net </t>
  </si>
  <si>
    <t>Cumulative Revaluations</t>
  </si>
  <si>
    <t>Gross PP&amp;E Generation</t>
  </si>
  <si>
    <t>Generation PP&amp;E Depreciation</t>
  </si>
  <si>
    <t>Revaluation/Gross PP&amp;E</t>
  </si>
  <si>
    <t>Allocation Bases:</t>
  </si>
  <si>
    <t>Selection</t>
  </si>
  <si>
    <t>Gen. Structures, Plant &amp; CWIP</t>
  </si>
  <si>
    <r>
      <rPr>
        <i/>
        <sz val="8"/>
        <rFont val="Arial MT"/>
      </rPr>
      <t>less</t>
    </r>
    <r>
      <rPr>
        <sz val="8"/>
        <rFont val="Arial MT"/>
      </rPr>
      <t xml:space="preserve"> accum. Depreciation/Impairment</t>
    </r>
  </si>
  <si>
    <t>discontinued</t>
  </si>
  <si>
    <t>Generation Impairment</t>
  </si>
  <si>
    <t xml:space="preserve"> Financial Statements</t>
  </si>
  <si>
    <t>Amortisations</t>
  </si>
  <si>
    <t>see note C1 p65</t>
  </si>
  <si>
    <t>including discontinued</t>
  </si>
  <si>
    <t>Decommissioning New Plymouth Power Station/Sale Otatuhu</t>
  </si>
  <si>
    <t>Gain Sale Rockgas a/tax</t>
  </si>
  <si>
    <t>Total PP&amp;E Depreciation less Impairment</t>
  </si>
  <si>
    <t>Income Statements Depreciation &amp; Amortisation</t>
  </si>
  <si>
    <t>Otahuhu Closure &amp; Sale Transaction</t>
  </si>
  <si>
    <t>Sale Proceeds</t>
  </si>
  <si>
    <t>Gain on Sale</t>
  </si>
  <si>
    <t>[2016 note A1]</t>
  </si>
  <si>
    <t>Plus, Pre-tax Significant Items</t>
  </si>
  <si>
    <t>Total Significant Items</t>
  </si>
  <si>
    <t>Extimated Net Residual Signifcant Items</t>
  </si>
  <si>
    <t>[Income Stament, A2 and A3]</t>
  </si>
  <si>
    <t>Relevant Other Significant Items</t>
  </si>
  <si>
    <t>Non Cash Profit adjustments</t>
  </si>
  <si>
    <t>[Source: generally Notes A2 or A3]</t>
  </si>
  <si>
    <t>[Source: generally Note A6]</t>
  </si>
  <si>
    <t>Non Cash Items excluded from Significant Items</t>
  </si>
  <si>
    <t>Total Depreciation &amp; Amortisation</t>
  </si>
  <si>
    <t>Adjusted Depreciation</t>
  </si>
  <si>
    <t>Note C1 p65 adjustment</t>
  </si>
  <si>
    <t>Depreciation &amp; Amortisation (adjust.L41]</t>
  </si>
  <si>
    <t>Rounding Adjustment</t>
  </si>
  <si>
    <t>rounding</t>
  </si>
  <si>
    <t>Chart of Accounts</t>
  </si>
  <si>
    <t>Significant Items After Tax Gain (+)</t>
  </si>
  <si>
    <t>Estimted Net Residual Significant Items</t>
  </si>
  <si>
    <t>Non-recurring Items after tax</t>
  </si>
  <si>
    <t>Selected Significant Items Gain (+)</t>
  </si>
  <si>
    <t>cumulative Net Total 3120</t>
  </si>
  <si>
    <t>cum Non-recurring Items after tax</t>
  </si>
  <si>
    <t>cumTreasury Hedges FV Move.</t>
  </si>
  <si>
    <t>Treasury Hedges FV Move.Gain (+)</t>
  </si>
  <si>
    <t xml:space="preserve">a: </t>
  </si>
  <si>
    <t xml:space="preserve">b: </t>
  </si>
  <si>
    <t>Gross Generation S&amp;P</t>
  </si>
  <si>
    <t>Net Generation S&amp;P</t>
  </si>
  <si>
    <t>Revaluation/Net Generation PP&amp;E</t>
  </si>
  <si>
    <t>Net Generation PP&amp;E</t>
  </si>
  <si>
    <t>cum Depreciation Revaluations</t>
  </si>
  <si>
    <t>Selected: a</t>
  </si>
  <si>
    <t>Revaluation Deferred Tax</t>
  </si>
  <si>
    <t>Change in Total Deferred Tax</t>
  </si>
  <si>
    <t>Change in Deferred Tax Liabilities</t>
  </si>
  <si>
    <t>Change in Total Deferred Tax Assets</t>
  </si>
  <si>
    <t>Net change</t>
  </si>
  <si>
    <t>nil</t>
  </si>
  <si>
    <t>Treasury Non-cash Hedge Movements</t>
  </si>
  <si>
    <t>Gain AGS</t>
  </si>
  <si>
    <t>Lease Expense</t>
  </si>
  <si>
    <t>Revaluations Analysis</t>
  </si>
  <si>
    <t>Depreciation Analysis</t>
  </si>
  <si>
    <t>Share Prices</t>
  </si>
  <si>
    <t xml:space="preserve">The returns generated from an all equity funded business on a "cash" rather than "accrual" basis reflecting aggregate cash investment and distinguishing non-operating items. </t>
  </si>
  <si>
    <t>For financial reporting Energy Hedges are carried on the balance sheet. They are revalued annually with changes in value taken to the Income Statement.</t>
  </si>
  <si>
    <t xml:space="preserve">Cumulative Energy Hedge Gains (Losses) are excluded from Capital while revaluations are not included in NOPAT. </t>
  </si>
  <si>
    <t>Sub total Line7 &amp; 16</t>
  </si>
  <si>
    <t xml:space="preserve"> =-loss</t>
  </si>
  <si>
    <t xml:space="preserve"> =+gain</t>
  </si>
  <si>
    <t xml:space="preserve">While all reasonable care and diligence has been used in processing and extracting the data included in this document, </t>
  </si>
  <si>
    <t>we give no warranty that the data and information represented in the database is error free.</t>
  </si>
  <si>
    <t>Users should apply reasonable care in the use of or reliance on any material contained in this document.</t>
  </si>
  <si>
    <t>Contact Income Statements</t>
  </si>
  <si>
    <t>Modified Income Statements</t>
  </si>
  <si>
    <t>FINANSEER Income Statements</t>
  </si>
  <si>
    <t>Contact Assets</t>
  </si>
  <si>
    <t>Contact Equity and Liabilities</t>
  </si>
  <si>
    <t>PP&amp;E Summary for Depreciation Allocation</t>
  </si>
  <si>
    <t>Depreciation Analysis for Depreciation Allocation</t>
  </si>
  <si>
    <t>Narrative and Data Adjustments</t>
  </si>
  <si>
    <t xml:space="preserve">The current version is dated 25 January 2022. Bold/shaded cells flag uncertainties about </t>
  </si>
  <si>
    <t>amount, type, classification, or data that is not easily reconciled or explained, etc., Some issues are material and some not.</t>
  </si>
  <si>
    <t>FINANSEER Financial Statements</t>
  </si>
  <si>
    <t>Changes &amp; Corrections to 25A January 2021 Version</t>
  </si>
  <si>
    <t xml:space="preserve">     as at  25 January 2022</t>
  </si>
  <si>
    <t>3.3a</t>
  </si>
  <si>
    <t>3.3b</t>
  </si>
  <si>
    <t>3.7a</t>
  </si>
  <si>
    <t>3.7b</t>
  </si>
  <si>
    <t>3.7c</t>
  </si>
  <si>
    <t>Sub total Line 71,78,80,81&amp;84</t>
  </si>
  <si>
    <t>Calculation</t>
  </si>
  <si>
    <t>"Commerce Commission Model"</t>
  </si>
  <si>
    <t>2y</t>
  </si>
  <si>
    <t>5y</t>
  </si>
  <si>
    <t>10y</t>
  </si>
  <si>
    <t>Date</t>
  </si>
  <si>
    <t>Adj Close</t>
  </si>
  <si>
    <t>Public Version</t>
  </si>
  <si>
    <t>see L270</t>
  </si>
  <si>
    <t>Cumulative Estimated Total Significant Items</t>
  </si>
  <si>
    <r>
      <t xml:space="preserve">Depreciation Adjustment </t>
    </r>
    <r>
      <rPr>
        <b/>
        <sz val="8"/>
        <rFont val="Arial MT"/>
      </rPr>
      <t>[2016 note C1, p65</t>
    </r>
    <r>
      <rPr>
        <sz val="8"/>
        <rFont val="Arial MT"/>
      </rPr>
      <t>]</t>
    </r>
  </si>
  <si>
    <t>relates to L356</t>
  </si>
  <si>
    <t>Contact Other Comprehensive Income</t>
  </si>
  <si>
    <t>Lease Expense/Income</t>
  </si>
  <si>
    <t>PP&amp;E Valuations</t>
  </si>
  <si>
    <t>Derivatives Balance Sheet</t>
  </si>
  <si>
    <t>DerivativesSummaries</t>
  </si>
  <si>
    <t>Derivatives Income Statement Fair Value Movement</t>
  </si>
  <si>
    <t>5.0 &amp; 5.1</t>
  </si>
  <si>
    <t>5.2 &amp; 5.3</t>
  </si>
  <si>
    <t>Modified Financial Statements</t>
  </si>
  <si>
    <t>Hidden</t>
  </si>
  <si>
    <t>Annunity MethodTemplate Illustration</t>
  </si>
  <si>
    <t>excluded from SI</t>
  </si>
  <si>
    <t>Contents and Disclaimer Statement</t>
  </si>
  <si>
    <t>January, 2022</t>
  </si>
  <si>
    <t>Implied Interest</t>
  </si>
  <si>
    <t>Revaluations since 2010</t>
  </si>
  <si>
    <t>Deferred Tax related to Revaluations</t>
  </si>
  <si>
    <t>Deferred Tax Composition</t>
  </si>
  <si>
    <t>Chart of</t>
  </si>
  <si>
    <t>Accounts</t>
  </si>
  <si>
    <r>
      <rPr>
        <u/>
        <sz val="11"/>
        <rFont val="Arial"/>
        <family val="2"/>
      </rPr>
      <t>Materialit</t>
    </r>
    <r>
      <rPr>
        <sz val="11"/>
        <rFont val="Arial"/>
        <family val="2"/>
      </rPr>
      <t>y: very low for CEN</t>
    </r>
  </si>
  <si>
    <r>
      <rPr>
        <u/>
        <sz val="11"/>
        <rFont val="Arial"/>
        <family val="2"/>
      </rPr>
      <t>Materialit</t>
    </r>
    <r>
      <rPr>
        <sz val="11"/>
        <rFont val="Arial"/>
        <family val="2"/>
      </rPr>
      <t>y: low for CEN</t>
    </r>
  </si>
  <si>
    <t xml:space="preserve">Where the financing cost is not explicit an imputed finance cost of the lease expenditure is assessed. The debt equivalent value of the lease is determined by capitalising the finance component </t>
  </si>
  <si>
    <t xml:space="preserve">The cumulative net Treasury Hedge Gains (Losses) are restored to Capital (balance sheet Hedges in this case) and the historic cost is restored. </t>
  </si>
  <si>
    <t>The cumulative revaluations prior to 2010 are reversed to reflect Historic Cost with Capital reduced accordingly.</t>
  </si>
  <si>
    <t>Please note that this adjustment has yet to be completed. As a substitue the change only is included as a placeholder.</t>
  </si>
  <si>
    <t xml:space="preserve">The Financial Liability method capitalises the lease financial commitments. </t>
  </si>
  <si>
    <t xml:space="preserve">To determine the excess Depreciation as a consequence of reversing Revaluation a ratio of Revaluations to Gross Generation PP&amp;E was used to allocate Total Depreciation.  </t>
  </si>
  <si>
    <r>
      <t xml:space="preserve">Capitalising operating leases to estimate economic capital and NOPAT can be based on either, </t>
    </r>
    <r>
      <rPr>
        <b/>
        <sz val="11"/>
        <rFont val="Arial"/>
        <family val="2"/>
      </rPr>
      <t>Financial Liabilit</t>
    </r>
    <r>
      <rPr>
        <sz val="11"/>
        <rFont val="Arial"/>
        <family val="2"/>
      </rPr>
      <t xml:space="preserve">y Model, as CEN appear to have done, or an </t>
    </r>
    <r>
      <rPr>
        <b/>
        <sz val="11"/>
        <rFont val="Arial"/>
        <family val="2"/>
      </rPr>
      <t>Annuit</t>
    </r>
    <r>
      <rPr>
        <sz val="11"/>
        <rFont val="Arial"/>
        <family val="2"/>
      </rPr>
      <t>y Model</t>
    </r>
  </si>
  <si>
    <t xml:space="preserve">(IWA has illustrated this approach as a contrast to the CEN application).  </t>
  </si>
  <si>
    <t>The Annuity method assumes that the assets subject to the lease are related to the asset's future revenue generation and assumed to be independent of the financial commitments.</t>
  </si>
  <si>
    <t xml:space="preserve">of estimated annual lease expenditure. The debt equivalent is added to Capital. </t>
  </si>
  <si>
    <t>For the Annuity Model, IWA has imputed the annual financing component of lease expenditure and adopted a capitalisation rate consistent with prevailing interest rates to enable consistent treatment of</t>
  </si>
  <si>
    <t>lease expenditures. From 2020, following a change in accounting standard, the treatment of lease expenditure in financial reporting is designed to reflect the economic framework.</t>
  </si>
  <si>
    <t>CEN adopted a "Right of Use Asset" in the treatment of leases from 2017.</t>
  </si>
  <si>
    <t xml:space="preserve">The Annuity Method is illustrated but not operated in IWA framework for CEN. The financing component of the lease expense is not an operating cost with the after-tax cost excluded from NOPAT.  </t>
  </si>
  <si>
    <t xml:space="preserve">Prior to 2010 for financial reporting Generation, PP&amp;E Revaluations were taken straight to the balance sheet.  Depreciation is provided for on the reassessed carrying value and charged to the P&amp;L.  </t>
  </si>
  <si>
    <t xml:space="preserve"> NOPAT effects including a related Deprecation adjustment  are addressed separately.</t>
  </si>
  <si>
    <r>
      <rPr>
        <u/>
        <sz val="11"/>
        <rFont val="Arial"/>
        <family val="2"/>
      </rPr>
      <t>Materialit</t>
    </r>
    <r>
      <rPr>
        <sz val="11"/>
        <rFont val="Arial"/>
        <family val="2"/>
      </rPr>
      <t>y: high for CEN</t>
    </r>
  </si>
  <si>
    <r>
      <rPr>
        <u/>
        <sz val="11"/>
        <rFont val="Arial"/>
        <family val="2"/>
      </rPr>
      <t>Materialit</t>
    </r>
    <r>
      <rPr>
        <sz val="11"/>
        <rFont val="Arial"/>
        <family val="2"/>
      </rPr>
      <t>y: very high for CEN</t>
    </r>
  </si>
  <si>
    <t>"Contact Energy Limited, Financial performance summary and data summaries 2012 to 2021, Base Model 2022 at 25 January 2022.xlsx"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</si>
</sst>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8" formatCode="&quot;$&quot;#,##0.00;[Red]\-&quot;$&quot;#,##0.0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0.0%"/>
    <numFmt numFmtId="166" formatCode="_(* #,##0_);_(* \(#,##0\);_(* &quot;-&quot;??_);_(@_)"/>
    <numFmt numFmtId="167" formatCode="0.000%"/>
    <numFmt numFmtId="168" formatCode="_-* #,##0_-;\-* #,##0_-;_-* &quot;-&quot;??_-;_-@_-"/>
    <numFmt numFmtId="169" formatCode="_(* #,##0.0_);_(* \(#,##0.0\);_(* &quot;-&quot;??_);_(@_)"/>
    <numFmt numFmtId="170" formatCode="0.0"/>
    <numFmt numFmtId="171" formatCode="mmm"/>
    <numFmt numFmtId="172" formatCode="#,##0_);\(#,##0\);0_);@"/>
    <numFmt numFmtId="173" formatCode="#,##0_);\(#,##0\);0_)"/>
    <numFmt numFmtId="174" formatCode="* _(#,##0.0_);* \(#,##0.0\);* _(0.0_);* @_)"/>
    <numFmt numFmtId="175" formatCode="&quot;$&quot;#,##0_);&quot;$&quot;\(#,##0\);&quot;$&quot;0_);@"/>
    <numFmt numFmtId="176" formatCode="_(#,##0.00\ \x_);\(#,##0.00\ \x\);0.00\ \x_)"/>
    <numFmt numFmtId="177" formatCode="#,##0.00_);\(#,##0.00\);0.00_)"/>
    <numFmt numFmtId="178" formatCode="[$-10409]mmm\ yyyy"/>
    <numFmt numFmtId="179" formatCode="[$-10409]#,##0.00;\-#,##0.00"/>
    <numFmt numFmtId="180" formatCode="[$-F800]dddd\,\ mmmm\ dd\,\ yyyy"/>
    <numFmt numFmtId="181" formatCode="_-* #,##0_-;\-* #,##0_-;_-* &quot;-&quot;?_-;_-@_-"/>
    <numFmt numFmtId="182" formatCode="_-* #,##0.00_-;\-* #,##0.00_-;_-* &quot;-&quot;?_-;_-@_-"/>
    <numFmt numFmtId="183" formatCode="_(* #,##0.0000_);_(* \(#,##0.0000\);_(* &quot;-&quot;??_);_(@_)"/>
    <numFmt numFmtId="184" formatCode="_-* #,##0.0_-;\-* #,##0.0_-;_-* &quot;-&quot;??_-;_-@_-"/>
    <numFmt numFmtId="185" formatCode="_-&quot;$&quot;* #,##0_-;\-&quot;$&quot;* #,##0_-;_-&quot;$&quot;* &quot;-&quot;??_-;_-@_-"/>
    <numFmt numFmtId="186" formatCode="_(* #,##0.000_);_(* \(#,##0.000\);_(* &quot;-&quot;??_);_(@_)"/>
    <numFmt numFmtId="187" formatCode="0.0E+00"/>
    <numFmt numFmtId="188" formatCode="mmm\ yyyy"/>
    <numFmt numFmtId="189" formatCode="[$-F400]h:mm:ss\ AM/PM"/>
    <numFmt numFmtId="190" formatCode="d/mm/yy;@"/>
  </numFmts>
  <fonts count="166">
    <font>
      <sz val="10"/>
      <name val="Arial MT"/>
    </font>
    <font>
      <sz val="10"/>
      <name val="Arial"/>
      <family val="2"/>
    </font>
    <font>
      <sz val="8"/>
      <name val="Arial MT"/>
    </font>
    <font>
      <sz val="10"/>
      <name val="Arial MT"/>
    </font>
    <font>
      <b/>
      <sz val="10"/>
      <name val="Century"/>
      <family val="1"/>
    </font>
    <font>
      <b/>
      <sz val="10"/>
      <name val="Arial MT"/>
    </font>
    <font>
      <sz val="9"/>
      <name val="Times New Roman"/>
      <family val="1"/>
    </font>
    <font>
      <b/>
      <sz val="9"/>
      <name val="Times New Roman"/>
      <family val="1"/>
    </font>
    <font>
      <sz val="9"/>
      <name val="Arial MT"/>
    </font>
    <font>
      <sz val="10"/>
      <name val="Arial"/>
      <family val="2"/>
    </font>
    <font>
      <b/>
      <sz val="11"/>
      <name val="Arial"/>
      <family val="2"/>
    </font>
    <font>
      <sz val="11"/>
      <name val="Arial"/>
      <family val="2"/>
    </font>
    <font>
      <sz val="11"/>
      <name val="Arial MT"/>
    </font>
    <font>
      <b/>
      <sz val="10"/>
      <name val="Arial"/>
      <family val="2"/>
    </font>
    <font>
      <i/>
      <sz val="10"/>
      <name val="Arial MT"/>
    </font>
    <font>
      <sz val="10"/>
      <name val="MS Sans Serif"/>
      <family val="2"/>
    </font>
    <font>
      <sz val="10"/>
      <color theme="0"/>
      <name val="Arial MT"/>
    </font>
    <font>
      <b/>
      <sz val="10"/>
      <color theme="0"/>
      <name val="Arial MT"/>
    </font>
    <font>
      <b/>
      <sz val="10"/>
      <color theme="0"/>
      <name val="Century"/>
      <family val="1"/>
    </font>
    <font>
      <u val="singleAccounting"/>
      <sz val="9"/>
      <name val="Times New Roman"/>
      <family val="1"/>
    </font>
    <font>
      <u val="doubleAccounting"/>
      <sz val="9"/>
      <name val="Times New Roman"/>
      <family val="1"/>
    </font>
    <font>
      <b/>
      <sz val="11"/>
      <color theme="1"/>
      <name val="Calibri"/>
      <family val="2"/>
      <scheme val="minor"/>
    </font>
    <font>
      <b/>
      <sz val="11"/>
      <name val="Arial MT"/>
    </font>
    <font>
      <i/>
      <sz val="9"/>
      <name val="Arial MT"/>
    </font>
    <font>
      <b/>
      <sz val="9"/>
      <name val="Arial MT"/>
    </font>
    <font>
      <b/>
      <sz val="11"/>
      <color theme="1"/>
      <name val="Arial"/>
      <family val="2"/>
    </font>
    <font>
      <sz val="11"/>
      <color theme="1"/>
      <name val="Arial"/>
      <family val="2"/>
    </font>
    <font>
      <b/>
      <sz val="11"/>
      <color theme="0"/>
      <name val="Arial"/>
      <family val="2"/>
    </font>
    <font>
      <i/>
      <sz val="11"/>
      <color theme="1"/>
      <name val="Arial"/>
      <family val="2"/>
    </font>
    <font>
      <sz val="9"/>
      <color theme="1"/>
      <name val="Arial"/>
      <family val="2"/>
    </font>
    <font>
      <b/>
      <sz val="8"/>
      <name val="Arial MT"/>
    </font>
    <font>
      <sz val="9"/>
      <color indexed="81"/>
      <name val="Tahoma"/>
      <family val="2"/>
    </font>
    <font>
      <b/>
      <i/>
      <sz val="10"/>
      <name val="Arial MT"/>
    </font>
    <font>
      <b/>
      <sz val="10"/>
      <color theme="1"/>
      <name val="Arial MT"/>
    </font>
    <font>
      <b/>
      <sz val="10"/>
      <name val="Arial Rounded MT Bold"/>
      <family val="2"/>
    </font>
    <font>
      <b/>
      <sz val="10"/>
      <color theme="0"/>
      <name val="Arial Rounded MT Bold"/>
      <family val="2"/>
    </font>
    <font>
      <b/>
      <sz val="12"/>
      <color theme="0"/>
      <name val="Arial MT"/>
    </font>
    <font>
      <b/>
      <sz val="12"/>
      <name val="Arial MT"/>
    </font>
    <font>
      <sz val="9"/>
      <name val="Calibri"/>
      <family val="2"/>
    </font>
    <font>
      <sz val="9"/>
      <name val="Arial"/>
      <family val="2"/>
    </font>
    <font>
      <sz val="9"/>
      <color theme="0"/>
      <name val="Arial MT"/>
    </font>
    <font>
      <i/>
      <sz val="8"/>
      <name val="Arial MT"/>
    </font>
    <font>
      <b/>
      <sz val="10"/>
      <color theme="1"/>
      <name val="Arial Rounded MT Bold"/>
      <family val="2"/>
    </font>
    <font>
      <b/>
      <sz val="12"/>
      <color theme="1"/>
      <name val="Arial MT"/>
    </font>
    <font>
      <b/>
      <sz val="11"/>
      <name val="Calibri"/>
      <family val="2"/>
      <scheme val="minor"/>
    </font>
    <font>
      <sz val="10"/>
      <name val="Arial Narrow"/>
      <family val="2"/>
    </font>
    <font>
      <sz val="8"/>
      <name val="Arial Narrow"/>
      <family val="2"/>
    </font>
    <font>
      <sz val="9"/>
      <name val="Arial Narrow"/>
      <family val="2"/>
    </font>
    <font>
      <sz val="11"/>
      <name val="Arial Narrow"/>
      <family val="2"/>
    </font>
    <font>
      <b/>
      <sz val="10"/>
      <color rgb="FFFF0000"/>
      <name val="Arial MT"/>
    </font>
    <font>
      <sz val="10"/>
      <color theme="0"/>
      <name val="Arial Narrow"/>
      <family val="2"/>
    </font>
    <font>
      <sz val="10"/>
      <color theme="3" tint="-0.249977111117893"/>
      <name val="Arial MT"/>
    </font>
    <font>
      <sz val="14"/>
      <name val="Franklin Gothic Demi"/>
      <family val="2"/>
    </font>
    <font>
      <b/>
      <sz val="11"/>
      <name val="Arial Narrow"/>
      <family val="2"/>
    </font>
    <font>
      <sz val="14"/>
      <name val="Arial MT"/>
    </font>
    <font>
      <b/>
      <sz val="14"/>
      <name val="Franklin Gothic Demi Cond"/>
      <family val="2"/>
    </font>
    <font>
      <b/>
      <sz val="14"/>
      <name val="Franklin Gothic Demi"/>
      <family val="2"/>
    </font>
    <font>
      <sz val="20"/>
      <name val="Franklin Gothic Demi Cond"/>
      <family val="2"/>
    </font>
    <font>
      <sz val="20"/>
      <name val="Arial MT"/>
    </font>
    <font>
      <i/>
      <sz val="20"/>
      <name val="Franklin Gothic Demi Cond"/>
      <family val="2"/>
    </font>
    <font>
      <b/>
      <sz val="11"/>
      <color rgb="FF000000"/>
      <name val="Calibri"/>
      <family val="2"/>
    </font>
    <font>
      <sz val="11"/>
      <color rgb="FF000000"/>
      <name val="Calibri"/>
      <family val="2"/>
    </font>
    <font>
      <b/>
      <sz val="8"/>
      <color theme="1"/>
      <name val="Calibri"/>
      <family val="2"/>
      <scheme val="minor"/>
    </font>
    <font>
      <b/>
      <sz val="10"/>
      <name val="Arial Narrow"/>
      <family val="2"/>
    </font>
    <font>
      <b/>
      <sz val="11"/>
      <color theme="1"/>
      <name val="Arial Narrow"/>
      <family val="2"/>
    </font>
    <font>
      <b/>
      <sz val="9"/>
      <name val="Arial Narrow"/>
      <family val="2"/>
    </font>
    <font>
      <b/>
      <sz val="10"/>
      <color rgb="FF0070C0"/>
      <name val="Arial MT"/>
    </font>
    <font>
      <b/>
      <sz val="10"/>
      <color theme="1"/>
      <name val="Arial Narrow"/>
      <family val="2"/>
    </font>
    <font>
      <i/>
      <sz val="10"/>
      <name val="Arial Narrow"/>
      <family val="2"/>
    </font>
    <font>
      <sz val="10"/>
      <color theme="1"/>
      <name val="Arial Narrow"/>
      <family val="2"/>
    </font>
    <font>
      <b/>
      <sz val="9"/>
      <color theme="0"/>
      <name val="Arial MT"/>
    </font>
    <font>
      <sz val="10"/>
      <color theme="1"/>
      <name val="Arial Rounded MT Bold"/>
      <family val="2"/>
    </font>
    <font>
      <sz val="10"/>
      <color theme="0"/>
      <name val="Arial Rounded MT Bold"/>
      <family val="2"/>
    </font>
    <font>
      <b/>
      <sz val="9"/>
      <color indexed="81"/>
      <name val="Tahoma"/>
      <family val="2"/>
    </font>
    <font>
      <b/>
      <sz val="11"/>
      <color rgb="FFFF0000"/>
      <name val="Arial Narrow"/>
      <family val="2"/>
    </font>
    <font>
      <sz val="11"/>
      <name val="Calibri"/>
      <family val="2"/>
      <scheme val="minor"/>
    </font>
    <font>
      <b/>
      <sz val="14"/>
      <name val="Arial MT"/>
    </font>
    <font>
      <sz val="10"/>
      <name val="Times New Roman"/>
      <family val="1"/>
    </font>
    <font>
      <sz val="8"/>
      <color theme="1"/>
      <name val="Calibri"/>
      <family val="2"/>
      <scheme val="minor"/>
    </font>
    <font>
      <b/>
      <sz val="11"/>
      <color rgb="FFC00000"/>
      <name val="Arial Narrow"/>
      <family val="2"/>
    </font>
    <font>
      <b/>
      <sz val="11"/>
      <color theme="3"/>
      <name val="Arial Narrow"/>
      <family val="2"/>
    </font>
    <font>
      <sz val="11"/>
      <color rgb="FF006100"/>
      <name val="Calibri"/>
      <family val="2"/>
      <scheme val="minor"/>
    </font>
    <font>
      <b/>
      <sz val="10"/>
      <color indexed="9"/>
      <name val="Arial MT"/>
    </font>
    <font>
      <sz val="10"/>
      <color indexed="9"/>
      <name val="Arial MT"/>
    </font>
    <font>
      <sz val="10"/>
      <name val="Century"/>
      <family val="1"/>
    </font>
    <font>
      <b/>
      <sz val="8"/>
      <name val="Arial"/>
      <family val="2"/>
    </font>
    <font>
      <sz val="8"/>
      <name val="Arial"/>
      <family val="2"/>
    </font>
    <font>
      <b/>
      <sz val="10"/>
      <color theme="0"/>
      <name val="Arial"/>
      <family val="2"/>
    </font>
    <font>
      <b/>
      <sz val="12"/>
      <name val="Arial"/>
      <family val="2"/>
    </font>
    <font>
      <b/>
      <sz val="12"/>
      <color theme="0"/>
      <name val="Arial"/>
      <family val="2"/>
    </font>
    <font>
      <b/>
      <sz val="14"/>
      <color theme="0"/>
      <name val="Arial"/>
      <family val="2"/>
    </font>
    <font>
      <b/>
      <sz val="10"/>
      <color indexed="9"/>
      <name val="Arial Rounded MT Bold"/>
      <family val="2"/>
    </font>
    <font>
      <sz val="10"/>
      <color indexed="9"/>
      <name val="Arial Rounded MT Bold"/>
      <family val="2"/>
    </font>
    <font>
      <b/>
      <sz val="14"/>
      <color theme="0"/>
      <name val="Arial Rounded MT Bold"/>
      <family val="2"/>
    </font>
    <font>
      <sz val="14"/>
      <color theme="0"/>
      <name val="Arial Rounded MT Bold"/>
      <family val="2"/>
    </font>
    <font>
      <b/>
      <i/>
      <sz val="10"/>
      <color theme="2"/>
      <name val="Century"/>
      <family val="1"/>
    </font>
    <font>
      <sz val="10"/>
      <color theme="0"/>
      <name val="Century"/>
      <family val="1"/>
    </font>
    <font>
      <b/>
      <sz val="10"/>
      <color theme="2"/>
      <name val="Century"/>
      <family val="1"/>
    </font>
    <font>
      <b/>
      <sz val="10"/>
      <color theme="2"/>
      <name val="Arial MT"/>
    </font>
    <font>
      <sz val="12"/>
      <name val="Arial MT"/>
    </font>
    <font>
      <b/>
      <sz val="9"/>
      <color theme="0"/>
      <name val="Arial"/>
      <family val="2"/>
    </font>
    <font>
      <b/>
      <i/>
      <sz val="12"/>
      <name val="Arial MT"/>
    </font>
    <font>
      <b/>
      <sz val="14"/>
      <name val="Arial"/>
      <family val="2"/>
    </font>
    <font>
      <b/>
      <sz val="9"/>
      <color theme="0"/>
      <name val="Arial Rounded MT Bold"/>
      <family val="2"/>
    </font>
    <font>
      <b/>
      <sz val="9"/>
      <name val="Courier New"/>
      <family val="3"/>
    </font>
    <font>
      <b/>
      <sz val="8"/>
      <name val="Courier New"/>
      <family val="3"/>
    </font>
    <font>
      <b/>
      <i/>
      <sz val="8"/>
      <name val="Arial MT"/>
    </font>
    <font>
      <b/>
      <sz val="8"/>
      <color theme="0"/>
      <name val="Arial"/>
      <family val="2"/>
    </font>
    <font>
      <b/>
      <sz val="8"/>
      <color theme="0"/>
      <name val="Arial Rounded MT Bold"/>
      <family val="2"/>
    </font>
    <font>
      <b/>
      <sz val="8"/>
      <name val="Arial Rounded MT Bold"/>
      <family val="2"/>
    </font>
    <font>
      <b/>
      <i/>
      <sz val="9"/>
      <name val="Arial MT"/>
    </font>
    <font>
      <b/>
      <sz val="8"/>
      <color theme="0"/>
      <name val="Arial MT"/>
    </font>
    <font>
      <sz val="8"/>
      <color theme="0"/>
      <name val="Arial MT"/>
    </font>
    <font>
      <sz val="9"/>
      <color theme="0"/>
      <name val="Arial Rounded MT Bold"/>
      <family val="2"/>
    </font>
    <font>
      <sz val="8"/>
      <color indexed="9"/>
      <name val="Arial MT"/>
    </font>
    <font>
      <i/>
      <sz val="12"/>
      <name val="Arial MT"/>
    </font>
    <font>
      <sz val="9"/>
      <color indexed="9"/>
      <name val="Arial MT"/>
    </font>
    <font>
      <sz val="8"/>
      <name val="Century"/>
      <family val="1"/>
    </font>
    <font>
      <b/>
      <sz val="9"/>
      <color indexed="9"/>
      <name val="Arial"/>
      <family val="2"/>
    </font>
    <font>
      <b/>
      <sz val="9"/>
      <color indexed="9"/>
      <name val="Arial Rounded MT Bold"/>
      <family val="2"/>
    </font>
    <font>
      <sz val="9"/>
      <color indexed="9"/>
      <name val="Arial Rounded MT Bold"/>
      <family val="2"/>
    </font>
    <font>
      <i/>
      <sz val="8"/>
      <name val="Arial"/>
      <family val="2"/>
    </font>
    <font>
      <b/>
      <sz val="8"/>
      <color theme="1"/>
      <name val="Arial Rounded MT Bold"/>
      <family val="2"/>
    </font>
    <font>
      <sz val="8"/>
      <color indexed="8"/>
      <name val="Arial"/>
      <family val="2"/>
    </font>
    <font>
      <b/>
      <u/>
      <sz val="8"/>
      <name val="Arial MT"/>
    </font>
    <font>
      <sz val="12"/>
      <name val="Arial"/>
      <family val="2"/>
    </font>
    <font>
      <b/>
      <sz val="8"/>
      <color theme="1"/>
      <name val="Arial MT"/>
    </font>
    <font>
      <sz val="8"/>
      <color indexed="8"/>
      <name val="Century Gothic"/>
      <family val="2"/>
    </font>
    <font>
      <sz val="8"/>
      <color theme="1"/>
      <name val="Century Gothic"/>
      <family val="2"/>
    </font>
    <font>
      <b/>
      <sz val="8"/>
      <color rgb="FFF26522"/>
      <name val="Century Gothic"/>
      <family val="2"/>
    </font>
    <font>
      <b/>
      <sz val="8"/>
      <color rgb="FF1E196A"/>
      <name val="Century Gothic"/>
      <family val="2"/>
    </font>
    <font>
      <sz val="8"/>
      <color theme="0"/>
      <name val="Arial Narrow"/>
      <family val="2"/>
    </font>
    <font>
      <sz val="8"/>
      <color rgb="FFFF0000"/>
      <name val="Arial Narrow"/>
      <family val="2"/>
    </font>
    <font>
      <sz val="8"/>
      <name val="Franklin Gothic Demi Cond"/>
      <family val="2"/>
    </font>
    <font>
      <b/>
      <sz val="8"/>
      <name val="Arial Narrow"/>
      <family val="2"/>
    </font>
    <font>
      <b/>
      <sz val="8"/>
      <name val="Franklin Gothic Demi"/>
      <family val="2"/>
    </font>
    <font>
      <b/>
      <i/>
      <u/>
      <sz val="8"/>
      <name val="Arial MT"/>
    </font>
    <font>
      <sz val="8"/>
      <name val="Courier New"/>
      <family val="3"/>
    </font>
    <font>
      <b/>
      <i/>
      <sz val="11"/>
      <name val="Arial MT"/>
    </font>
    <font>
      <b/>
      <sz val="10"/>
      <color indexed="9"/>
      <name val="Arial"/>
      <family val="2"/>
    </font>
    <font>
      <u/>
      <sz val="10"/>
      <color theme="10"/>
      <name val="Arial MT"/>
    </font>
    <font>
      <b/>
      <sz val="7"/>
      <name val="Arial MT"/>
    </font>
    <font>
      <sz val="7"/>
      <name val="Arial MT"/>
    </font>
    <font>
      <b/>
      <sz val="20"/>
      <name val="Arial"/>
      <family val="2"/>
    </font>
    <font>
      <b/>
      <sz val="10"/>
      <color theme="1"/>
      <name val="Arial"/>
      <family val="2"/>
    </font>
    <font>
      <b/>
      <sz val="14"/>
      <color theme="1"/>
      <name val="Arial"/>
      <family val="2"/>
    </font>
    <font>
      <sz val="8"/>
      <color rgb="FFFF0000"/>
      <name val="Arial"/>
      <family val="2"/>
    </font>
    <font>
      <b/>
      <i/>
      <sz val="14"/>
      <name val="Arial MT"/>
    </font>
    <font>
      <b/>
      <sz val="9"/>
      <color indexed="9"/>
      <name val="Arial MT"/>
    </font>
    <font>
      <b/>
      <sz val="11"/>
      <color theme="0"/>
      <name val="Arial MT"/>
    </font>
    <font>
      <sz val="11"/>
      <name val="Courier New"/>
      <family val="3"/>
    </font>
    <font>
      <b/>
      <sz val="9"/>
      <name val="Arial"/>
      <family val="2"/>
    </font>
    <font>
      <u/>
      <sz val="12"/>
      <name val="Arial MT"/>
    </font>
    <font>
      <sz val="11"/>
      <color theme="0"/>
      <name val="Arial"/>
      <family val="2"/>
    </font>
    <font>
      <i/>
      <sz val="12"/>
      <name val="Arial"/>
      <family val="2"/>
    </font>
    <font>
      <b/>
      <sz val="20"/>
      <name val="Arial MT"/>
    </font>
    <font>
      <b/>
      <u/>
      <sz val="10"/>
      <color theme="10"/>
      <name val="Arial MT"/>
    </font>
    <font>
      <sz val="9"/>
      <color theme="0"/>
      <name val="Arial"/>
      <family val="2"/>
    </font>
    <font>
      <sz val="8"/>
      <color rgb="FFFF0000"/>
      <name val="Arial MT"/>
    </font>
    <font>
      <b/>
      <i/>
      <sz val="8"/>
      <name val="Arial"/>
      <family val="2"/>
    </font>
    <font>
      <b/>
      <sz val="9"/>
      <color theme="1"/>
      <name val="Arial MT"/>
    </font>
    <font>
      <b/>
      <sz val="8"/>
      <color rgb="FFFF0000"/>
      <name val="Arial MT"/>
    </font>
    <font>
      <sz val="8"/>
      <color theme="1"/>
      <name val="Arial MT"/>
    </font>
    <font>
      <sz val="8"/>
      <color theme="0"/>
      <name val="Arial"/>
      <family val="2"/>
    </font>
    <font>
      <sz val="8"/>
      <color theme="0"/>
      <name val="Arial Rounded MT Bold"/>
      <family val="2"/>
    </font>
    <font>
      <u/>
      <sz val="11"/>
      <name val="Arial"/>
      <family val="2"/>
    </font>
  </fonts>
  <fills count="44">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007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92D050"/>
        <bgColor indexed="64"/>
      </patternFill>
    </fill>
    <fill>
      <patternFill patternType="solid">
        <fgColor rgb="FF23262A"/>
        <bgColor indexed="64"/>
      </patternFill>
    </fill>
    <fill>
      <patternFill patternType="solid">
        <fgColor rgb="FF5FC6F5"/>
        <bgColor indexed="64"/>
      </patternFill>
    </fill>
    <fill>
      <patternFill patternType="solid">
        <fgColor rgb="FF1293D4"/>
        <bgColor indexed="64"/>
      </patternFill>
    </fill>
    <fill>
      <patternFill patternType="solid">
        <fgColor rgb="FF083F5A"/>
        <bgColor indexed="64"/>
      </patternFill>
    </fill>
    <fill>
      <patternFill patternType="solid">
        <fgColor rgb="FFFFCD2F"/>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rgb="FF000000"/>
      </patternFill>
    </fill>
    <fill>
      <patternFill patternType="solid">
        <fgColor rgb="FFC00000"/>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C6EFCE"/>
      </patternFill>
    </fill>
    <fill>
      <patternFill patternType="solid">
        <fgColor theme="2" tint="-9.9978637043366805E-2"/>
        <bgColor indexed="64"/>
      </patternFill>
    </fill>
    <fill>
      <patternFill patternType="solid">
        <fgColor theme="2"/>
        <bgColor indexed="64"/>
      </patternFill>
    </fill>
    <fill>
      <patternFill patternType="solid">
        <fgColor indexed="8"/>
        <bgColor indexed="64"/>
      </patternFill>
    </fill>
    <fill>
      <patternFill patternType="solid">
        <fgColor theme="8"/>
        <bgColor indexed="64"/>
      </patternFill>
    </fill>
    <fill>
      <patternFill patternType="solid">
        <fgColor rgb="FF0067B4"/>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indexed="13"/>
        <bgColor indexed="64"/>
      </patternFill>
    </fill>
    <fill>
      <patternFill patternType="solid">
        <fgColor theme="6" tint="0.79998168889431442"/>
        <bgColor indexed="64"/>
      </patternFill>
    </fill>
  </fills>
  <borders count="26">
    <border>
      <left/>
      <right/>
      <top/>
      <bottom/>
      <diagonal/>
    </border>
    <border>
      <left/>
      <right/>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style="medium">
        <color indexed="64"/>
      </top>
      <bottom style="thin">
        <color indexed="64"/>
      </bottom>
      <diagonal/>
    </border>
    <border>
      <left/>
      <right/>
      <top/>
      <bottom style="thin">
        <color rgb="FF000000"/>
      </bottom>
      <diagonal/>
    </border>
    <border>
      <left/>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21">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71" fontId="15" fillId="0" borderId="0"/>
    <xf numFmtId="172" fontId="6" fillId="0" borderId="0" applyBorder="0" applyAlignment="0">
      <alignment horizontal="right"/>
    </xf>
    <xf numFmtId="0" fontId="19" fillId="0" borderId="0" applyFill="0" applyBorder="0">
      <alignment horizontal="right"/>
    </xf>
    <xf numFmtId="173" fontId="7" fillId="0" borderId="0" applyFill="0" applyAlignment="0">
      <alignment horizontal="right"/>
    </xf>
    <xf numFmtId="174" fontId="20" fillId="0" borderId="0" applyNumberFormat="0" applyFill="0" applyBorder="0" applyAlignment="0">
      <alignment horizontal="right"/>
    </xf>
    <xf numFmtId="175" fontId="6" fillId="0" borderId="0" applyFill="0" applyBorder="0" applyAlignment="0" applyProtection="0">
      <alignment horizontal="right"/>
    </xf>
    <xf numFmtId="176" fontId="6" fillId="0" borderId="0" applyFill="0" applyBorder="0" applyAlignment="0">
      <alignment horizontal="right"/>
    </xf>
    <xf numFmtId="177" fontId="6" fillId="0" borderId="0" applyFill="0" applyBorder="0" applyAlignment="0">
      <alignment horizontal="right"/>
    </xf>
    <xf numFmtId="44" fontId="3" fillId="0" borderId="0" applyFont="0" applyFill="0" applyBorder="0" applyAlignment="0" applyProtection="0"/>
    <xf numFmtId="0" fontId="1" fillId="0" borderId="0"/>
    <xf numFmtId="9" fontId="1" fillId="0" borderId="0" applyFont="0" applyFill="0" applyBorder="0" applyAlignment="0" applyProtection="0"/>
    <xf numFmtId="0" fontId="77" fillId="0" borderId="0"/>
    <xf numFmtId="0" fontId="81" fillId="34" borderId="0" applyNumberFormat="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0" fontId="140" fillId="0" borderId="0" applyNumberFormat="0" applyFill="0" applyBorder="0" applyAlignment="0" applyProtection="0"/>
  </cellStyleXfs>
  <cellXfs count="1650">
    <xf numFmtId="0" fontId="0" fillId="0" borderId="0" xfId="0"/>
    <xf numFmtId="0" fontId="5" fillId="0" borderId="0" xfId="0" applyFont="1"/>
    <xf numFmtId="166" fontId="0" fillId="0" borderId="0" xfId="1" applyNumberFormat="1" applyFont="1" applyBorder="1"/>
    <xf numFmtId="0" fontId="0" fillId="0" borderId="0" xfId="0" applyAlignment="1">
      <alignment horizontal="right"/>
    </xf>
    <xf numFmtId="0" fontId="0" fillId="0" borderId="1" xfId="0" applyBorder="1"/>
    <xf numFmtId="165" fontId="0" fillId="0" borderId="0" xfId="2" applyNumberFormat="1" applyFont="1"/>
    <xf numFmtId="0" fontId="8" fillId="0" borderId="0" xfId="0" applyFont="1"/>
    <xf numFmtId="170" fontId="0" fillId="0" borderId="0" xfId="0" applyNumberFormat="1"/>
    <xf numFmtId="168" fontId="0" fillId="0" borderId="0" xfId="0" applyNumberFormat="1"/>
    <xf numFmtId="166" fontId="0" fillId="0" borderId="0" xfId="1" applyNumberFormat="1" applyFont="1" applyFill="1" applyBorder="1"/>
    <xf numFmtId="166" fontId="0" fillId="0" borderId="1" xfId="1" applyNumberFormat="1" applyFont="1" applyFill="1" applyBorder="1"/>
    <xf numFmtId="0" fontId="11" fillId="0" borderId="1" xfId="0" applyFont="1" applyBorder="1"/>
    <xf numFmtId="0" fontId="11" fillId="0" borderId="0" xfId="0" applyFont="1"/>
    <xf numFmtId="0" fontId="5" fillId="0" borderId="1" xfId="0" applyFont="1" applyBorder="1"/>
    <xf numFmtId="166" fontId="0" fillId="0" borderId="0" xfId="0" applyNumberFormat="1"/>
    <xf numFmtId="0" fontId="12" fillId="0" borderId="0" xfId="0" applyFont="1"/>
    <xf numFmtId="0" fontId="14" fillId="0" borderId="0" xfId="0" applyFont="1"/>
    <xf numFmtId="10" fontId="0" fillId="0" borderId="0" xfId="2" applyNumberFormat="1" applyFont="1"/>
    <xf numFmtId="166" fontId="0" fillId="0" borderId="1" xfId="0" applyNumberFormat="1" applyBorder="1"/>
    <xf numFmtId="165" fontId="0" fillId="0" borderId="0" xfId="2" applyNumberFormat="1" applyFont="1" applyFill="1" applyBorder="1"/>
    <xf numFmtId="165" fontId="0" fillId="0" borderId="0" xfId="2" applyNumberFormat="1" applyFont="1" applyFill="1"/>
    <xf numFmtId="166" fontId="0" fillId="0" borderId="0" xfId="1" applyNumberFormat="1" applyFont="1" applyFill="1" applyBorder="1" applyAlignment="1">
      <alignment horizontal="right"/>
    </xf>
    <xf numFmtId="0" fontId="0" fillId="0" borderId="0" xfId="0" applyAlignment="1">
      <alignment horizontal="left" indent="1"/>
    </xf>
    <xf numFmtId="165" fontId="0" fillId="0" borderId="0" xfId="2" applyNumberFormat="1" applyFont="1" applyBorder="1"/>
    <xf numFmtId="9" fontId="0" fillId="0" borderId="0" xfId="2" applyFont="1"/>
    <xf numFmtId="0" fontId="0" fillId="0" borderId="7" xfId="0" applyBorder="1"/>
    <xf numFmtId="166" fontId="0" fillId="0" borderId="2" xfId="1" applyNumberFormat="1" applyFont="1" applyFill="1" applyBorder="1"/>
    <xf numFmtId="0" fontId="1" fillId="0" borderId="0" xfId="0" applyFont="1"/>
    <xf numFmtId="0" fontId="0" fillId="2" borderId="0" xfId="0" applyFill="1"/>
    <xf numFmtId="166" fontId="5" fillId="0" borderId="0" xfId="1" applyNumberFormat="1" applyFont="1" applyFill="1" applyBorder="1"/>
    <xf numFmtId="0" fontId="18" fillId="4" borderId="6" xfId="0" applyFont="1" applyFill="1" applyBorder="1"/>
    <xf numFmtId="0" fontId="0" fillId="0" borderId="4" xfId="0" applyBorder="1"/>
    <xf numFmtId="0" fontId="0" fillId="0" borderId="1" xfId="0" applyBorder="1" applyAlignment="1">
      <alignment horizontal="right"/>
    </xf>
    <xf numFmtId="168" fontId="0" fillId="0" borderId="0" xfId="1" applyNumberFormat="1" applyFont="1" applyFill="1" applyBorder="1"/>
    <xf numFmtId="0" fontId="2" fillId="0" borderId="0" xfId="0" applyFont="1"/>
    <xf numFmtId="165" fontId="11" fillId="0" borderId="0" xfId="2" applyNumberFormat="1" applyFont="1"/>
    <xf numFmtId="166" fontId="0" fillId="5" borderId="0" xfId="0" applyNumberFormat="1" applyFill="1"/>
    <xf numFmtId="0" fontId="5" fillId="0" borderId="0" xfId="0" applyFont="1" applyAlignment="1">
      <alignment horizontal="right"/>
    </xf>
    <xf numFmtId="0" fontId="8" fillId="0" borderId="0" xfId="0" applyFont="1" applyAlignment="1">
      <alignment horizontal="right"/>
    </xf>
    <xf numFmtId="180" fontId="17" fillId="4" borderId="0" xfId="0" applyNumberFormat="1" applyFont="1" applyFill="1" applyAlignment="1">
      <alignment horizontal="left"/>
    </xf>
    <xf numFmtId="0" fontId="5" fillId="2" borderId="0" xfId="0" applyFont="1" applyFill="1"/>
    <xf numFmtId="165" fontId="0" fillId="0" borderId="0" xfId="0" applyNumberFormat="1"/>
    <xf numFmtId="166" fontId="8" fillId="0" borderId="0" xfId="0" applyNumberFormat="1" applyFont="1"/>
    <xf numFmtId="0" fontId="2" fillId="0" borderId="1" xfId="0" applyFont="1" applyBorder="1"/>
    <xf numFmtId="0" fontId="17" fillId="0" borderId="0" xfId="0" applyFont="1"/>
    <xf numFmtId="166" fontId="2" fillId="0" borderId="0" xfId="0" applyNumberFormat="1" applyFont="1"/>
    <xf numFmtId="0" fontId="2" fillId="0" borderId="0" xfId="0" applyFont="1" applyAlignment="1">
      <alignment horizontal="right"/>
    </xf>
    <xf numFmtId="9" fontId="0" fillId="0" borderId="0" xfId="2" applyFont="1" applyFill="1" applyBorder="1"/>
    <xf numFmtId="165" fontId="0" fillId="0" borderId="1" xfId="2" applyNumberFormat="1" applyFont="1" applyFill="1" applyBorder="1"/>
    <xf numFmtId="165" fontId="2" fillId="0" borderId="0" xfId="2" applyNumberFormat="1" applyFont="1"/>
    <xf numFmtId="166" fontId="8" fillId="0" borderId="0" xfId="1" applyNumberFormat="1" applyFont="1" applyFill="1" applyBorder="1"/>
    <xf numFmtId="165" fontId="8" fillId="0" borderId="0" xfId="2" applyNumberFormat="1" applyFont="1" applyFill="1" applyBorder="1"/>
    <xf numFmtId="169" fontId="0" fillId="0" borderId="0" xfId="1" applyNumberFormat="1" applyFont="1" applyFill="1" applyBorder="1"/>
    <xf numFmtId="9" fontId="0" fillId="0" borderId="0" xfId="2" applyFont="1" applyBorder="1"/>
    <xf numFmtId="0" fontId="25" fillId="0" borderId="0" xfId="0" applyFont="1"/>
    <xf numFmtId="165" fontId="26" fillId="0" borderId="1" xfId="0" applyNumberFormat="1" applyFont="1" applyBorder="1" applyAlignment="1">
      <alignment horizontal="right"/>
    </xf>
    <xf numFmtId="0" fontId="27" fillId="4" borderId="0" xfId="0" applyFont="1" applyFill="1"/>
    <xf numFmtId="0" fontId="26" fillId="0" borderId="0" xfId="0" applyFont="1"/>
    <xf numFmtId="0" fontId="26" fillId="0" borderId="0" xfId="0" applyFont="1" applyAlignment="1">
      <alignment horizontal="right"/>
    </xf>
    <xf numFmtId="0" fontId="25" fillId="0" borderId="1" xfId="0" applyFont="1" applyBorder="1"/>
    <xf numFmtId="166" fontId="26" fillId="0" borderId="0" xfId="0" applyNumberFormat="1" applyFont="1"/>
    <xf numFmtId="166" fontId="26" fillId="0" borderId="1" xfId="0" applyNumberFormat="1" applyFont="1" applyBorder="1"/>
    <xf numFmtId="166" fontId="25" fillId="0" borderId="0" xfId="0" applyNumberFormat="1" applyFont="1"/>
    <xf numFmtId="9" fontId="26" fillId="0" borderId="0" xfId="2" applyFont="1" applyFill="1"/>
    <xf numFmtId="2" fontId="26" fillId="0" borderId="0" xfId="0" applyNumberFormat="1" applyFont="1"/>
    <xf numFmtId="0" fontId="26" fillId="0" borderId="1" xfId="0" applyFont="1" applyBorder="1" applyAlignment="1">
      <alignment horizontal="right"/>
    </xf>
    <xf numFmtId="165" fontId="26" fillId="0" borderId="0" xfId="2" applyNumberFormat="1" applyFont="1" applyFill="1" applyAlignment="1">
      <alignment horizontal="right"/>
    </xf>
    <xf numFmtId="165" fontId="26" fillId="0" borderId="1" xfId="2" applyNumberFormat="1" applyFont="1" applyFill="1" applyBorder="1" applyAlignment="1">
      <alignment horizontal="right"/>
    </xf>
    <xf numFmtId="165" fontId="26" fillId="0" borderId="0" xfId="0" applyNumberFormat="1" applyFont="1" applyAlignment="1">
      <alignment horizontal="right"/>
    </xf>
    <xf numFmtId="166" fontId="26" fillId="0" borderId="0" xfId="0" applyNumberFormat="1" applyFont="1" applyAlignment="1">
      <alignment horizontal="right"/>
    </xf>
    <xf numFmtId="166" fontId="26" fillId="0" borderId="1" xfId="0" applyNumberFormat="1" applyFont="1" applyBorder="1" applyAlignment="1">
      <alignment horizontal="right"/>
    </xf>
    <xf numFmtId="0" fontId="26" fillId="0" borderId="1" xfId="0" applyFont="1" applyBorder="1"/>
    <xf numFmtId="181" fontId="0" fillId="0" borderId="0" xfId="0" applyNumberFormat="1"/>
    <xf numFmtId="166" fontId="0" fillId="2" borderId="0" xfId="1" applyNumberFormat="1" applyFont="1" applyFill="1" applyBorder="1"/>
    <xf numFmtId="181" fontId="11" fillId="0" borderId="0" xfId="0" applyNumberFormat="1" applyFont="1"/>
    <xf numFmtId="0" fontId="18" fillId="7" borderId="0" xfId="0" applyFont="1" applyFill="1"/>
    <xf numFmtId="182" fontId="11" fillId="0" borderId="0" xfId="0" applyNumberFormat="1" applyFont="1"/>
    <xf numFmtId="183" fontId="0" fillId="0" borderId="0" xfId="0" applyNumberFormat="1"/>
    <xf numFmtId="0" fontId="2" fillId="0" borderId="7" xfId="0" applyFont="1" applyBorder="1" applyAlignment="1">
      <alignment horizontal="right"/>
    </xf>
    <xf numFmtId="181" fontId="11" fillId="0" borderId="1" xfId="0" applyNumberFormat="1" applyFont="1" applyBorder="1"/>
    <xf numFmtId="0" fontId="8" fillId="0" borderId="1" xfId="0" applyFont="1" applyBorder="1"/>
    <xf numFmtId="9" fontId="0" fillId="0" borderId="1" xfId="2" applyFont="1" applyBorder="1"/>
    <xf numFmtId="14" fontId="0" fillId="0" borderId="0" xfId="0" applyNumberFormat="1"/>
    <xf numFmtId="0" fontId="0" fillId="6" borderId="0" xfId="0" applyFill="1"/>
    <xf numFmtId="0" fontId="5" fillId="9" borderId="1" xfId="0" applyFont="1" applyFill="1" applyBorder="1"/>
    <xf numFmtId="0" fontId="0" fillId="9" borderId="0" xfId="0" applyFill="1"/>
    <xf numFmtId="0" fontId="0" fillId="9" borderId="1" xfId="0" applyFill="1" applyBorder="1"/>
    <xf numFmtId="165" fontId="0" fillId="9" borderId="0" xfId="0" applyNumberFormat="1" applyFill="1"/>
    <xf numFmtId="0" fontId="16" fillId="4" borderId="0" xfId="0" applyFont="1" applyFill="1"/>
    <xf numFmtId="0" fontId="16" fillId="7" borderId="10" xfId="0" applyFont="1" applyFill="1" applyBorder="1" applyAlignment="1">
      <alignment horizontal="right"/>
    </xf>
    <xf numFmtId="0" fontId="16" fillId="12" borderId="7" xfId="0" applyFont="1" applyFill="1" applyBorder="1" applyAlignment="1">
      <alignment horizontal="right"/>
    </xf>
    <xf numFmtId="166" fontId="5" fillId="6" borderId="8" xfId="0" applyNumberFormat="1" applyFont="1" applyFill="1" applyBorder="1"/>
    <xf numFmtId="0" fontId="5" fillId="6" borderId="0" xfId="0" applyFont="1" applyFill="1"/>
    <xf numFmtId="166" fontId="5" fillId="6" borderId="8" xfId="1" applyNumberFormat="1" applyFont="1" applyFill="1" applyBorder="1"/>
    <xf numFmtId="166" fontId="5" fillId="6" borderId="0" xfId="1" applyNumberFormat="1" applyFont="1" applyFill="1" applyBorder="1"/>
    <xf numFmtId="166" fontId="5" fillId="8" borderId="0" xfId="1" applyNumberFormat="1" applyFont="1" applyFill="1" applyBorder="1"/>
    <xf numFmtId="166" fontId="5" fillId="6" borderId="1" xfId="1" applyNumberFormat="1" applyFont="1" applyFill="1" applyBorder="1"/>
    <xf numFmtId="185" fontId="5" fillId="6" borderId="8" xfId="12" applyNumberFormat="1" applyFont="1" applyFill="1" applyBorder="1"/>
    <xf numFmtId="185" fontId="5" fillId="6" borderId="9" xfId="12" applyNumberFormat="1" applyFont="1" applyFill="1" applyBorder="1"/>
    <xf numFmtId="0" fontId="10" fillId="0" borderId="0" xfId="0" applyFont="1"/>
    <xf numFmtId="166" fontId="0" fillId="0" borderId="1" xfId="1" applyNumberFormat="1" applyFont="1" applyFill="1" applyBorder="1" applyAlignment="1">
      <alignment horizontal="right"/>
    </xf>
    <xf numFmtId="0" fontId="0" fillId="8" borderId="0" xfId="0" applyFill="1"/>
    <xf numFmtId="0" fontId="14" fillId="8" borderId="0" xfId="0" applyFont="1" applyFill="1" applyAlignment="1">
      <alignment horizontal="right"/>
    </xf>
    <xf numFmtId="0" fontId="0" fillId="0" borderId="0" xfId="0" applyAlignment="1">
      <alignment horizontal="center"/>
    </xf>
    <xf numFmtId="0" fontId="0" fillId="0" borderId="1" xfId="0" applyBorder="1" applyAlignment="1">
      <alignment horizontal="center"/>
    </xf>
    <xf numFmtId="166" fontId="0" fillId="8" borderId="0" xfId="1" applyNumberFormat="1" applyFont="1" applyFill="1" applyBorder="1" applyAlignment="1">
      <alignment horizontal="right"/>
    </xf>
    <xf numFmtId="0" fontId="26" fillId="0" borderId="0" xfId="0" applyFont="1" applyAlignment="1">
      <alignment horizontal="center"/>
    </xf>
    <xf numFmtId="0" fontId="25" fillId="0" borderId="1" xfId="0" applyFont="1" applyBorder="1" applyAlignment="1">
      <alignment horizontal="center"/>
    </xf>
    <xf numFmtId="0" fontId="25" fillId="0" borderId="0" xfId="0" applyFont="1" applyAlignment="1">
      <alignment horizontal="center"/>
    </xf>
    <xf numFmtId="0" fontId="10" fillId="0" borderId="0" xfId="0" applyFont="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4" fillId="13" borderId="1" xfId="0" applyFont="1" applyFill="1" applyBorder="1"/>
    <xf numFmtId="0" fontId="4" fillId="13" borderId="4" xfId="0" applyFont="1" applyFill="1" applyBorder="1"/>
    <xf numFmtId="0" fontId="0" fillId="13" borderId="0" xfId="0" applyFill="1"/>
    <xf numFmtId="0" fontId="25" fillId="13" borderId="1" xfId="0" applyFont="1" applyFill="1" applyBorder="1"/>
    <xf numFmtId="0" fontId="26" fillId="13" borderId="0" xfId="0" applyFont="1" applyFill="1" applyAlignment="1">
      <alignment horizontal="right"/>
    </xf>
    <xf numFmtId="0" fontId="0" fillId="5" borderId="0" xfId="0" applyFill="1"/>
    <xf numFmtId="0" fontId="17" fillId="4" borderId="1" xfId="0" applyFont="1" applyFill="1" applyBorder="1"/>
    <xf numFmtId="0" fontId="17" fillId="7" borderId="1" xfId="0" applyFont="1" applyFill="1" applyBorder="1"/>
    <xf numFmtId="165" fontId="5" fillId="0" borderId="0" xfId="2" applyNumberFormat="1" applyFont="1" applyFill="1" applyBorder="1"/>
    <xf numFmtId="10" fontId="0" fillId="0" borderId="0" xfId="2" applyNumberFormat="1" applyFont="1" applyFill="1" applyBorder="1"/>
    <xf numFmtId="10" fontId="0" fillId="0" borderId="0" xfId="0" applyNumberFormat="1"/>
    <xf numFmtId="166" fontId="1" fillId="0" borderId="0" xfId="0" applyNumberFormat="1" applyFont="1"/>
    <xf numFmtId="164" fontId="2" fillId="0" borderId="0" xfId="0" applyNumberFormat="1" applyFont="1"/>
    <xf numFmtId="166" fontId="30" fillId="0" borderId="0" xfId="0" applyNumberFormat="1" applyFont="1"/>
    <xf numFmtId="9" fontId="2" fillId="0" borderId="0" xfId="2" applyFont="1" applyFill="1" applyBorder="1"/>
    <xf numFmtId="0" fontId="25" fillId="5" borderId="1" xfId="0" applyFont="1" applyFill="1" applyBorder="1"/>
    <xf numFmtId="166" fontId="26" fillId="5" borderId="0" xfId="0" applyNumberFormat="1" applyFont="1" applyFill="1"/>
    <xf numFmtId="166" fontId="26" fillId="5" borderId="1" xfId="0" applyNumberFormat="1" applyFont="1" applyFill="1" applyBorder="1"/>
    <xf numFmtId="166" fontId="25" fillId="5" borderId="0" xfId="0" applyNumberFormat="1" applyFont="1" applyFill="1"/>
    <xf numFmtId="0" fontId="26" fillId="5" borderId="0" xfId="0" applyFont="1" applyFill="1"/>
    <xf numFmtId="9" fontId="26" fillId="5" borderId="0" xfId="2" applyFont="1" applyFill="1"/>
    <xf numFmtId="9" fontId="26" fillId="5" borderId="8" xfId="0" applyNumberFormat="1" applyFont="1" applyFill="1" applyBorder="1"/>
    <xf numFmtId="2" fontId="26" fillId="5" borderId="0" xfId="0" applyNumberFormat="1" applyFont="1" applyFill="1"/>
    <xf numFmtId="43" fontId="26" fillId="5" borderId="8" xfId="1" applyFont="1" applyFill="1" applyBorder="1"/>
    <xf numFmtId="0" fontId="26" fillId="5" borderId="8" xfId="0" applyFont="1" applyFill="1" applyBorder="1"/>
    <xf numFmtId="166" fontId="25" fillId="5" borderId="8" xfId="0" applyNumberFormat="1" applyFont="1" applyFill="1" applyBorder="1"/>
    <xf numFmtId="165" fontId="26" fillId="5" borderId="0" xfId="2" applyNumberFormat="1" applyFont="1" applyFill="1"/>
    <xf numFmtId="165" fontId="26" fillId="5" borderId="8" xfId="0" applyNumberFormat="1" applyFont="1" applyFill="1" applyBorder="1"/>
    <xf numFmtId="0" fontId="28" fillId="5" borderId="0" xfId="0" applyFont="1" applyFill="1" applyAlignment="1">
      <alignment horizontal="center"/>
    </xf>
    <xf numFmtId="165" fontId="25" fillId="5" borderId="0" xfId="0" applyNumberFormat="1" applyFont="1" applyFill="1"/>
    <xf numFmtId="165" fontId="25" fillId="5" borderId="8" xfId="0" applyNumberFormat="1" applyFont="1" applyFill="1" applyBorder="1"/>
    <xf numFmtId="165" fontId="26" fillId="5" borderId="1" xfId="2" applyNumberFormat="1" applyFont="1" applyFill="1" applyBorder="1"/>
    <xf numFmtId="165" fontId="26" fillId="5" borderId="9" xfId="0" applyNumberFormat="1" applyFont="1" applyFill="1" applyBorder="1"/>
    <xf numFmtId="165" fontId="26" fillId="5" borderId="0" xfId="0" applyNumberFormat="1" applyFont="1" applyFill="1"/>
    <xf numFmtId="166" fontId="26" fillId="5" borderId="8" xfId="0" applyNumberFormat="1" applyFont="1" applyFill="1" applyBorder="1"/>
    <xf numFmtId="166" fontId="26" fillId="5" borderId="9" xfId="0" applyNumberFormat="1" applyFont="1" applyFill="1" applyBorder="1"/>
    <xf numFmtId="165" fontId="26" fillId="5" borderId="1" xfId="0" applyNumberFormat="1" applyFont="1" applyFill="1" applyBorder="1"/>
    <xf numFmtId="168" fontId="26" fillId="5" borderId="1" xfId="1" applyNumberFormat="1" applyFont="1" applyFill="1" applyBorder="1"/>
    <xf numFmtId="168" fontId="29" fillId="5" borderId="1" xfId="1" applyNumberFormat="1" applyFont="1" applyFill="1" applyBorder="1"/>
    <xf numFmtId="9" fontId="26" fillId="5" borderId="0" xfId="2" applyFont="1" applyFill="1" applyBorder="1"/>
    <xf numFmtId="168" fontId="26" fillId="5" borderId="0" xfId="1" applyNumberFormat="1" applyFont="1" applyFill="1" applyBorder="1"/>
    <xf numFmtId="168" fontId="29" fillId="5" borderId="0" xfId="1" applyNumberFormat="1" applyFont="1" applyFill="1" applyBorder="1"/>
    <xf numFmtId="181" fontId="0" fillId="5" borderId="0" xfId="0" applyNumberFormat="1" applyFill="1"/>
    <xf numFmtId="166" fontId="0" fillId="5" borderId="1" xfId="0" applyNumberFormat="1" applyFill="1" applyBorder="1"/>
    <xf numFmtId="9" fontId="0" fillId="5" borderId="0" xfId="0" applyNumberFormat="1" applyFill="1"/>
    <xf numFmtId="9" fontId="0" fillId="5" borderId="0" xfId="2" applyFont="1" applyFill="1"/>
    <xf numFmtId="9" fontId="0" fillId="5" borderId="1" xfId="0" applyNumberFormat="1" applyFill="1" applyBorder="1"/>
    <xf numFmtId="0" fontId="0" fillId="5" borderId="1" xfId="0" applyFill="1" applyBorder="1"/>
    <xf numFmtId="0" fontId="11" fillId="5" borderId="0" xfId="0" applyFont="1" applyFill="1"/>
    <xf numFmtId="170" fontId="11" fillId="5" borderId="0" xfId="0" applyNumberFormat="1" applyFont="1" applyFill="1"/>
    <xf numFmtId="0" fontId="11" fillId="5" borderId="1" xfId="0" applyFont="1" applyFill="1" applyBorder="1"/>
    <xf numFmtId="9" fontId="5" fillId="0" borderId="0" xfId="2" applyFont="1" applyFill="1" applyBorder="1"/>
    <xf numFmtId="0" fontId="34" fillId="0" borderId="0" xfId="0" applyFont="1"/>
    <xf numFmtId="0" fontId="34" fillId="3" borderId="1" xfId="0" applyFont="1" applyFill="1" applyBorder="1"/>
    <xf numFmtId="0" fontId="34" fillId="3" borderId="4" xfId="0" applyFont="1" applyFill="1" applyBorder="1"/>
    <xf numFmtId="0" fontId="17" fillId="0" borderId="7" xfId="0" applyFont="1" applyBorder="1"/>
    <xf numFmtId="166" fontId="8" fillId="0" borderId="0" xfId="1" applyNumberFormat="1" applyFont="1" applyFill="1" applyBorder="1" applyAlignment="1">
      <alignment horizontal="right"/>
    </xf>
    <xf numFmtId="166" fontId="8" fillId="0" borderId="1" xfId="1" applyNumberFormat="1" applyFont="1" applyFill="1" applyBorder="1"/>
    <xf numFmtId="0" fontId="8" fillId="0" borderId="0" xfId="0" applyFont="1" applyAlignment="1">
      <alignment horizontal="left"/>
    </xf>
    <xf numFmtId="0" fontId="36" fillId="0" borderId="0" xfId="0" applyFont="1"/>
    <xf numFmtId="0" fontId="37" fillId="0" borderId="0" xfId="0" applyFont="1"/>
    <xf numFmtId="0" fontId="37" fillId="0" borderId="0" xfId="0" applyFont="1" applyAlignment="1">
      <alignment horizontal="center"/>
    </xf>
    <xf numFmtId="44" fontId="0" fillId="0" borderId="0" xfId="0" applyNumberFormat="1"/>
    <xf numFmtId="169" fontId="5" fillId="0" borderId="0" xfId="1" applyNumberFormat="1" applyFont="1" applyFill="1" applyBorder="1"/>
    <xf numFmtId="0" fontId="37" fillId="0" borderId="7" xfId="0" applyFont="1" applyBorder="1" applyAlignment="1">
      <alignment horizontal="center"/>
    </xf>
    <xf numFmtId="165" fontId="2" fillId="0" borderId="0" xfId="2" applyNumberFormat="1" applyFont="1" applyFill="1"/>
    <xf numFmtId="166" fontId="0" fillId="0" borderId="13" xfId="1" applyNumberFormat="1" applyFont="1" applyFill="1" applyBorder="1"/>
    <xf numFmtId="166" fontId="0" fillId="0" borderId="12" xfId="1" applyNumberFormat="1" applyFont="1" applyFill="1" applyBorder="1"/>
    <xf numFmtId="166" fontId="5" fillId="0" borderId="13" xfId="1" applyNumberFormat="1" applyFont="1" applyFill="1" applyBorder="1"/>
    <xf numFmtId="0" fontId="0" fillId="0" borderId="13" xfId="0" applyBorder="1"/>
    <xf numFmtId="0" fontId="5" fillId="0" borderId="13" xfId="0" applyFont="1" applyBorder="1"/>
    <xf numFmtId="9" fontId="5" fillId="0" borderId="13" xfId="2" applyFont="1" applyFill="1" applyBorder="1"/>
    <xf numFmtId="9" fontId="2" fillId="0" borderId="13" xfId="2" applyFont="1" applyFill="1" applyBorder="1"/>
    <xf numFmtId="0" fontId="41" fillId="0" borderId="0" xfId="0" applyFont="1" applyAlignment="1">
      <alignment horizontal="right"/>
    </xf>
    <xf numFmtId="14" fontId="2" fillId="0" borderId="0" xfId="0" applyNumberFormat="1" applyFont="1"/>
    <xf numFmtId="165" fontId="8" fillId="0" borderId="13" xfId="2" applyNumberFormat="1" applyFont="1" applyFill="1" applyBorder="1"/>
    <xf numFmtId="165" fontId="0" fillId="0" borderId="13" xfId="2" applyNumberFormat="1" applyFont="1" applyFill="1" applyBorder="1"/>
    <xf numFmtId="9" fontId="0" fillId="0" borderId="13" xfId="2" applyFont="1" applyFill="1" applyBorder="1"/>
    <xf numFmtId="169" fontId="0" fillId="0" borderId="13" xfId="1" applyNumberFormat="1" applyFont="1" applyFill="1" applyBorder="1"/>
    <xf numFmtId="165" fontId="0" fillId="0" borderId="12" xfId="2" applyNumberFormat="1" applyFont="1" applyFill="1" applyBorder="1"/>
    <xf numFmtId="44" fontId="2" fillId="0" borderId="0" xfId="12" applyFont="1" applyFill="1" applyBorder="1"/>
    <xf numFmtId="185" fontId="5" fillId="0" borderId="0" xfId="12" applyNumberFormat="1" applyFont="1" applyFill="1" applyBorder="1"/>
    <xf numFmtId="10" fontId="5" fillId="0" borderId="0" xfId="2" applyNumberFormat="1" applyFont="1" applyFill="1" applyBorder="1"/>
    <xf numFmtId="0" fontId="0" fillId="0" borderId="15" xfId="0" applyBorder="1"/>
    <xf numFmtId="165" fontId="0" fillId="0" borderId="0" xfId="2" applyNumberFormat="1" applyFont="1" applyFill="1" applyBorder="1" applyAlignment="1">
      <alignment horizontal="right"/>
    </xf>
    <xf numFmtId="9" fontId="0" fillId="0" borderId="0" xfId="2" applyFont="1" applyFill="1" applyBorder="1" applyAlignment="1">
      <alignment horizontal="right"/>
    </xf>
    <xf numFmtId="169" fontId="0" fillId="0" borderId="0" xfId="1" applyNumberFormat="1" applyFont="1" applyFill="1" applyBorder="1" applyAlignment="1">
      <alignment horizontal="right"/>
    </xf>
    <xf numFmtId="0" fontId="32" fillId="0" borderId="1" xfId="0" applyFont="1" applyBorder="1" applyAlignment="1">
      <alignment horizontal="center"/>
    </xf>
    <xf numFmtId="0" fontId="8" fillId="0" borderId="0" xfId="0" quotePrefix="1" applyFont="1" applyAlignment="1">
      <alignment horizontal="right"/>
    </xf>
    <xf numFmtId="185" fontId="5" fillId="9" borderId="0" xfId="12" applyNumberFormat="1" applyFont="1" applyFill="1" applyBorder="1"/>
    <xf numFmtId="0" fontId="5" fillId="9" borderId="0" xfId="0" applyFont="1" applyFill="1"/>
    <xf numFmtId="169" fontId="5" fillId="9" borderId="0" xfId="1" applyNumberFormat="1" applyFont="1" applyFill="1" applyBorder="1"/>
    <xf numFmtId="165" fontId="5" fillId="6" borderId="0" xfId="2" applyNumberFormat="1" applyFont="1" applyFill="1" applyBorder="1"/>
    <xf numFmtId="165" fontId="5" fillId="6" borderId="1" xfId="2" applyNumberFormat="1" applyFont="1" applyFill="1" applyBorder="1"/>
    <xf numFmtId="166" fontId="17" fillId="0" borderId="0" xfId="1" applyNumberFormat="1" applyFont="1" applyFill="1" applyBorder="1" applyAlignment="1">
      <alignment horizontal="right"/>
    </xf>
    <xf numFmtId="166" fontId="17" fillId="4" borderId="1" xfId="1" applyNumberFormat="1" applyFont="1" applyFill="1" applyBorder="1" applyAlignment="1">
      <alignment horizontal="center"/>
    </xf>
    <xf numFmtId="44" fontId="5" fillId="0" borderId="0" xfId="12" applyFont="1" applyFill="1" applyBorder="1"/>
    <xf numFmtId="44" fontId="5" fillId="6" borderId="0" xfId="12" applyFont="1" applyFill="1" applyBorder="1"/>
    <xf numFmtId="166" fontId="17" fillId="0" borderId="0" xfId="1" applyNumberFormat="1" applyFont="1" applyFill="1" applyBorder="1" applyAlignment="1">
      <alignment horizontal="center"/>
    </xf>
    <xf numFmtId="166" fontId="5" fillId="0" borderId="13" xfId="1" applyNumberFormat="1" applyFont="1" applyFill="1" applyBorder="1" applyAlignment="1">
      <alignment horizontal="center"/>
    </xf>
    <xf numFmtId="166" fontId="17" fillId="0" borderId="13" xfId="1" applyNumberFormat="1" applyFont="1" applyFill="1" applyBorder="1" applyAlignment="1">
      <alignment horizontal="right"/>
    </xf>
    <xf numFmtId="10" fontId="5" fillId="0" borderId="13" xfId="2" applyNumberFormat="1" applyFont="1" applyFill="1" applyBorder="1"/>
    <xf numFmtId="165" fontId="5" fillId="0" borderId="13" xfId="2" applyNumberFormat="1" applyFont="1" applyFill="1" applyBorder="1"/>
    <xf numFmtId="44" fontId="5" fillId="0" borderId="13" xfId="12" applyFont="1" applyFill="1" applyBorder="1"/>
    <xf numFmtId="44" fontId="5" fillId="0" borderId="1" xfId="12" applyFont="1" applyBorder="1"/>
    <xf numFmtId="168" fontId="0" fillId="0" borderId="0" xfId="1" applyNumberFormat="1" applyFont="1"/>
    <xf numFmtId="168" fontId="0" fillId="0" borderId="1" xfId="1" applyNumberFormat="1" applyFont="1" applyBorder="1"/>
    <xf numFmtId="166" fontId="5" fillId="0" borderId="0" xfId="1" applyNumberFormat="1" applyFont="1" applyFill="1" applyBorder="1" applyAlignment="1">
      <alignment horizontal="center"/>
    </xf>
    <xf numFmtId="0" fontId="32" fillId="0" borderId="5" xfId="0" applyFont="1" applyBorder="1" applyAlignment="1">
      <alignment horizontal="center"/>
    </xf>
    <xf numFmtId="166" fontId="5" fillId="0" borderId="15" xfId="0" applyNumberFormat="1" applyFont="1" applyBorder="1"/>
    <xf numFmtId="42" fontId="5" fillId="9" borderId="15" xfId="12" applyNumberFormat="1" applyFont="1" applyFill="1" applyBorder="1"/>
    <xf numFmtId="166" fontId="17" fillId="4" borderId="14" xfId="1" applyNumberFormat="1" applyFont="1" applyFill="1" applyBorder="1" applyAlignment="1">
      <alignment horizontal="center"/>
    </xf>
    <xf numFmtId="0" fontId="5" fillId="0" borderId="15" xfId="0" applyFont="1" applyBorder="1"/>
    <xf numFmtId="0" fontId="5" fillId="9" borderId="15" xfId="0" applyFont="1" applyFill="1" applyBorder="1"/>
    <xf numFmtId="185" fontId="5" fillId="9" borderId="15" xfId="12" applyNumberFormat="1" applyFont="1" applyFill="1" applyBorder="1"/>
    <xf numFmtId="10" fontId="5" fillId="6" borderId="15" xfId="0" applyNumberFormat="1" applyFont="1" applyFill="1" applyBorder="1"/>
    <xf numFmtId="165" fontId="5" fillId="6" borderId="15" xfId="0" applyNumberFormat="1" applyFont="1" applyFill="1" applyBorder="1"/>
    <xf numFmtId="165" fontId="5" fillId="6" borderId="14" xfId="0" applyNumberFormat="1" applyFont="1" applyFill="1" applyBorder="1"/>
    <xf numFmtId="44" fontId="5" fillId="6" borderId="14" xfId="0" applyNumberFormat="1" applyFont="1" applyFill="1" applyBorder="1"/>
    <xf numFmtId="0" fontId="35" fillId="4" borderId="9" xfId="0" applyFont="1" applyFill="1" applyBorder="1"/>
    <xf numFmtId="0" fontId="35" fillId="4" borderId="1" xfId="0" applyFont="1" applyFill="1" applyBorder="1"/>
    <xf numFmtId="0" fontId="35" fillId="4" borderId="12" xfId="0" applyFont="1" applyFill="1" applyBorder="1"/>
    <xf numFmtId="0" fontId="43" fillId="2" borderId="0" xfId="0" applyFont="1" applyFill="1"/>
    <xf numFmtId="0" fontId="5" fillId="9" borderId="1" xfId="0" applyFont="1" applyFill="1" applyBorder="1" applyAlignment="1">
      <alignment horizontal="center"/>
    </xf>
    <xf numFmtId="0" fontId="5" fillId="0" borderId="1" xfId="0" applyFont="1" applyBorder="1" applyAlignment="1">
      <alignment horizontal="center"/>
    </xf>
    <xf numFmtId="166" fontId="17" fillId="0" borderId="1" xfId="1" applyNumberFormat="1" applyFont="1" applyFill="1" applyBorder="1" applyAlignment="1">
      <alignment horizontal="center"/>
    </xf>
    <xf numFmtId="166" fontId="5" fillId="6" borderId="1" xfId="1" applyNumberFormat="1" applyFont="1" applyFill="1" applyBorder="1" applyAlignment="1">
      <alignment horizontal="center"/>
    </xf>
    <xf numFmtId="0" fontId="0" fillId="0" borderId="14" xfId="0" applyBorder="1"/>
    <xf numFmtId="44" fontId="33" fillId="0" borderId="5" xfId="0" applyNumberFormat="1" applyFont="1" applyBorder="1"/>
    <xf numFmtId="44" fontId="2" fillId="0" borderId="13" xfId="12" applyFont="1" applyFill="1" applyBorder="1"/>
    <xf numFmtId="0" fontId="32" fillId="0" borderId="0" xfId="0" applyFont="1"/>
    <xf numFmtId="0" fontId="0" fillId="0" borderId="8" xfId="0" applyBorder="1"/>
    <xf numFmtId="0" fontId="35" fillId="0" borderId="0" xfId="0" applyFont="1"/>
    <xf numFmtId="0" fontId="21" fillId="0" borderId="1" xfId="0" applyFont="1" applyBorder="1"/>
    <xf numFmtId="168" fontId="0" fillId="0" borderId="0" xfId="1" applyNumberFormat="1" applyFont="1" applyBorder="1"/>
    <xf numFmtId="185" fontId="0" fillId="0" borderId="0" xfId="0" applyNumberFormat="1"/>
    <xf numFmtId="14" fontId="8" fillId="2" borderId="1" xfId="0" applyNumberFormat="1" applyFont="1" applyFill="1" applyBorder="1"/>
    <xf numFmtId="9" fontId="2" fillId="0" borderId="0" xfId="0" applyNumberFormat="1" applyFont="1"/>
    <xf numFmtId="165" fontId="0" fillId="2" borderId="1" xfId="2" applyNumberFormat="1" applyFont="1" applyFill="1" applyBorder="1"/>
    <xf numFmtId="9" fontId="0" fillId="0" borderId="0" xfId="0" applyNumberFormat="1"/>
    <xf numFmtId="9" fontId="0" fillId="0" borderId="1" xfId="0" applyNumberFormat="1" applyBorder="1"/>
    <xf numFmtId="9" fontId="30" fillId="13" borderId="0" xfId="2" applyFont="1" applyFill="1" applyBorder="1"/>
    <xf numFmtId="0" fontId="8" fillId="0" borderId="1" xfId="0" applyFont="1" applyBorder="1" applyAlignment="1">
      <alignment horizontal="right"/>
    </xf>
    <xf numFmtId="165" fontId="5" fillId="0" borderId="0" xfId="1" applyNumberFormat="1" applyFont="1" applyFill="1" applyBorder="1"/>
    <xf numFmtId="165" fontId="5" fillId="0" borderId="0" xfId="0" applyNumberFormat="1" applyFont="1"/>
    <xf numFmtId="165" fontId="5" fillId="6" borderId="15" xfId="0" applyNumberFormat="1" applyFont="1" applyFill="1" applyBorder="1" applyAlignment="1">
      <alignment horizontal="right"/>
    </xf>
    <xf numFmtId="184" fontId="5" fillId="9" borderId="15" xfId="0" applyNumberFormat="1" applyFont="1" applyFill="1" applyBorder="1"/>
    <xf numFmtId="165" fontId="5" fillId="0" borderId="15" xfId="0" applyNumberFormat="1" applyFont="1" applyBorder="1"/>
    <xf numFmtId="9" fontId="0" fillId="2" borderId="0" xfId="2" applyFont="1" applyFill="1" applyBorder="1"/>
    <xf numFmtId="9" fontId="0" fillId="2" borderId="0" xfId="0" applyNumberFormat="1" applyFill="1"/>
    <xf numFmtId="9" fontId="0" fillId="2" borderId="1" xfId="0" applyNumberFormat="1" applyFill="1" applyBorder="1"/>
    <xf numFmtId="9" fontId="0" fillId="2" borderId="1" xfId="2" applyFont="1" applyFill="1" applyBorder="1"/>
    <xf numFmtId="0" fontId="14" fillId="0" borderId="0" xfId="0" applyFont="1" applyAlignment="1">
      <alignment horizontal="right"/>
    </xf>
    <xf numFmtId="0" fontId="0" fillId="14" borderId="0" xfId="0" applyFill="1"/>
    <xf numFmtId="0" fontId="2" fillId="14" borderId="0" xfId="0" applyFont="1" applyFill="1" applyAlignment="1">
      <alignment horizontal="right"/>
    </xf>
    <xf numFmtId="185" fontId="5" fillId="0" borderId="1" xfId="12" applyNumberFormat="1" applyFont="1" applyFill="1" applyBorder="1"/>
    <xf numFmtId="165" fontId="5" fillId="0" borderId="1" xfId="2" applyNumberFormat="1" applyFont="1" applyFill="1" applyBorder="1"/>
    <xf numFmtId="9" fontId="5" fillId="0" borderId="12" xfId="2" applyFont="1" applyFill="1" applyBorder="1"/>
    <xf numFmtId="9" fontId="5" fillId="0" borderId="1" xfId="2" applyFont="1" applyFill="1" applyBorder="1"/>
    <xf numFmtId="165" fontId="5" fillId="0" borderId="14" xfId="0" applyNumberFormat="1" applyFont="1" applyBorder="1"/>
    <xf numFmtId="165" fontId="5" fillId="0" borderId="12" xfId="2" applyNumberFormat="1" applyFont="1" applyFill="1" applyBorder="1"/>
    <xf numFmtId="185" fontId="14" fillId="0" borderId="0" xfId="12" applyNumberFormat="1" applyFont="1" applyFill="1" applyBorder="1"/>
    <xf numFmtId="0" fontId="21" fillId="9" borderId="1" xfId="0" applyFont="1" applyFill="1" applyBorder="1"/>
    <xf numFmtId="165" fontId="0" fillId="9" borderId="0" xfId="2" applyNumberFormat="1" applyFont="1" applyFill="1"/>
    <xf numFmtId="165" fontId="0" fillId="9" borderId="1" xfId="2" applyNumberFormat="1" applyFont="1" applyFill="1" applyBorder="1"/>
    <xf numFmtId="0" fontId="21" fillId="14" borderId="1" xfId="0" applyFont="1" applyFill="1" applyBorder="1"/>
    <xf numFmtId="0" fontId="0" fillId="0" borderId="9" xfId="0" applyBorder="1"/>
    <xf numFmtId="0" fontId="5" fillId="0" borderId="12" xfId="0" applyFont="1" applyBorder="1"/>
    <xf numFmtId="0" fontId="5" fillId="0" borderId="10" xfId="0" applyFont="1" applyBorder="1"/>
    <xf numFmtId="0" fontId="2" fillId="0" borderId="7" xfId="0" applyFont="1" applyBorder="1"/>
    <xf numFmtId="0" fontId="2" fillId="0" borderId="8" xfId="0" applyFont="1" applyBorder="1" applyAlignment="1">
      <alignment horizontal="right"/>
    </xf>
    <xf numFmtId="0" fontId="0" fillId="0" borderId="10" xfId="0" applyBorder="1"/>
    <xf numFmtId="0" fontId="21" fillId="0" borderId="4" xfId="0" applyFont="1" applyBorder="1"/>
    <xf numFmtId="168" fontId="0" fillId="0" borderId="0" xfId="1" applyNumberFormat="1" applyFont="1" applyBorder="1" applyAlignment="1">
      <alignment horizontal="left"/>
    </xf>
    <xf numFmtId="9" fontId="2" fillId="9" borderId="0" xfId="0" applyNumberFormat="1" applyFont="1" applyFill="1"/>
    <xf numFmtId="185" fontId="0" fillId="0" borderId="0" xfId="0" applyNumberFormat="1" applyAlignment="1">
      <alignment horizontal="right"/>
    </xf>
    <xf numFmtId="0" fontId="5" fillId="0" borderId="3" xfId="0" applyFont="1" applyBorder="1"/>
    <xf numFmtId="185" fontId="8" fillId="0" borderId="0" xfId="0" applyNumberFormat="1" applyFont="1"/>
    <xf numFmtId="165" fontId="0" fillId="0" borderId="16" xfId="0" applyNumberFormat="1" applyBorder="1"/>
    <xf numFmtId="165" fontId="0" fillId="0" borderId="14" xfId="0" applyNumberFormat="1" applyBorder="1"/>
    <xf numFmtId="168" fontId="0" fillId="0" borderId="15" xfId="0" applyNumberFormat="1" applyBorder="1"/>
    <xf numFmtId="168" fontId="0" fillId="0" borderId="14" xfId="0" applyNumberFormat="1" applyBorder="1"/>
    <xf numFmtId="165" fontId="0" fillId="6" borderId="0" xfId="2" applyNumberFormat="1" applyFont="1" applyFill="1"/>
    <xf numFmtId="0" fontId="45" fillId="6" borderId="0" xfId="0" applyFont="1" applyFill="1"/>
    <xf numFmtId="0" fontId="46" fillId="6" borderId="0" xfId="0" applyFont="1" applyFill="1"/>
    <xf numFmtId="0" fontId="47" fillId="6" borderId="0" xfId="0" applyFont="1" applyFill="1"/>
    <xf numFmtId="0" fontId="48" fillId="6" borderId="0" xfId="0" applyFont="1" applyFill="1"/>
    <xf numFmtId="0" fontId="47" fillId="0" borderId="0" xfId="0" applyFont="1"/>
    <xf numFmtId="166" fontId="0" fillId="0" borderId="15" xfId="0" applyNumberFormat="1" applyBorder="1"/>
    <xf numFmtId="166" fontId="0" fillId="0" borderId="14" xfId="0" applyNumberFormat="1" applyBorder="1"/>
    <xf numFmtId="168" fontId="0" fillId="6" borderId="0" xfId="1" applyNumberFormat="1" applyFont="1" applyFill="1" applyBorder="1"/>
    <xf numFmtId="0" fontId="22" fillId="0" borderId="0" xfId="0" applyFont="1"/>
    <xf numFmtId="0" fontId="48" fillId="0" borderId="0" xfId="0" applyFont="1"/>
    <xf numFmtId="0" fontId="46" fillId="0" borderId="0" xfId="0" applyFont="1"/>
    <xf numFmtId="0" fontId="45" fillId="0" borderId="0" xfId="0" applyFont="1"/>
    <xf numFmtId="168" fontId="0" fillId="5" borderId="0" xfId="1" applyNumberFormat="1" applyFont="1" applyFill="1"/>
    <xf numFmtId="0" fontId="49" fillId="0" borderId="0" xfId="0" applyFont="1"/>
    <xf numFmtId="0" fontId="46" fillId="0" borderId="1" xfId="0" applyFont="1" applyBorder="1"/>
    <xf numFmtId="0" fontId="45" fillId="0" borderId="1" xfId="0" applyFont="1" applyBorder="1"/>
    <xf numFmtId="0" fontId="51" fillId="0" borderId="0" xfId="0" applyFont="1"/>
    <xf numFmtId="0" fontId="52" fillId="6" borderId="0" xfId="0" applyFont="1" applyFill="1"/>
    <xf numFmtId="43" fontId="0" fillId="0" borderId="0" xfId="1" applyFont="1" applyFill="1" applyBorder="1"/>
    <xf numFmtId="0" fontId="54" fillId="6" borderId="0" xfId="0" applyFont="1" applyFill="1"/>
    <xf numFmtId="0" fontId="55" fillId="0" borderId="0" xfId="0" applyFont="1"/>
    <xf numFmtId="168" fontId="0" fillId="5" borderId="0" xfId="1" applyNumberFormat="1" applyFont="1" applyFill="1" applyBorder="1"/>
    <xf numFmtId="0" fontId="57" fillId="0" borderId="1" xfId="0" applyFont="1" applyBorder="1"/>
    <xf numFmtId="0" fontId="58" fillId="0" borderId="1" xfId="0" applyFont="1" applyBorder="1"/>
    <xf numFmtId="165" fontId="45" fillId="6" borderId="0" xfId="2" applyNumberFormat="1" applyFont="1" applyFill="1"/>
    <xf numFmtId="165" fontId="47" fillId="6" borderId="0" xfId="2" applyNumberFormat="1" applyFont="1" applyFill="1"/>
    <xf numFmtId="0" fontId="56" fillId="6" borderId="0" xfId="0" applyFont="1" applyFill="1"/>
    <xf numFmtId="10" fontId="0" fillId="6" borderId="0" xfId="0" applyNumberFormat="1" applyFill="1"/>
    <xf numFmtId="2" fontId="0" fillId="0" borderId="0" xfId="0" applyNumberFormat="1"/>
    <xf numFmtId="169" fontId="0" fillId="14" borderId="0" xfId="0" applyNumberFormat="1" applyFill="1"/>
    <xf numFmtId="165" fontId="0" fillId="12" borderId="0" xfId="2" applyNumberFormat="1" applyFont="1" applyFill="1" applyAlignment="1"/>
    <xf numFmtId="165" fontId="0" fillId="7" borderId="0" xfId="2" applyNumberFormat="1" applyFont="1" applyFill="1" applyAlignment="1"/>
    <xf numFmtId="165" fontId="47" fillId="7" borderId="0" xfId="2" applyNumberFormat="1" applyFont="1" applyFill="1" applyAlignment="1">
      <alignment horizontal="right"/>
    </xf>
    <xf numFmtId="0" fontId="30" fillId="0" borderId="10" xfId="0" applyFont="1" applyBorder="1"/>
    <xf numFmtId="0" fontId="62" fillId="0" borderId="4" xfId="0" applyFont="1" applyBorder="1"/>
    <xf numFmtId="0" fontId="62" fillId="0" borderId="3" xfId="0" applyFont="1" applyBorder="1"/>
    <xf numFmtId="0" fontId="2" fillId="0" borderId="8" xfId="0" applyFont="1" applyBorder="1"/>
    <xf numFmtId="168" fontId="2" fillId="0" borderId="0" xfId="1" applyNumberFormat="1" applyFont="1" applyBorder="1"/>
    <xf numFmtId="165" fontId="41" fillId="0" borderId="0" xfId="2" applyNumberFormat="1" applyFont="1" applyBorder="1"/>
    <xf numFmtId="165" fontId="41" fillId="0" borderId="1" xfId="2" applyNumberFormat="1" applyFont="1" applyBorder="1"/>
    <xf numFmtId="0" fontId="62" fillId="0" borderId="0" xfId="0" applyFont="1"/>
    <xf numFmtId="0" fontId="30" fillId="3" borderId="1" xfId="0" applyFont="1" applyFill="1" applyBorder="1"/>
    <xf numFmtId="168" fontId="2" fillId="0" borderId="0" xfId="1" applyNumberFormat="1" applyFont="1"/>
    <xf numFmtId="0" fontId="2" fillId="3" borderId="1" xfId="0" applyFont="1" applyFill="1" applyBorder="1"/>
    <xf numFmtId="0" fontId="30" fillId="0" borderId="8" xfId="0" applyFont="1" applyBorder="1" applyAlignment="1">
      <alignment horizontal="center"/>
    </xf>
    <xf numFmtId="0" fontId="62" fillId="0" borderId="1" xfId="0" applyFont="1" applyBorder="1"/>
    <xf numFmtId="168" fontId="52" fillId="6" borderId="0" xfId="1" applyNumberFormat="1" applyFont="1" applyFill="1"/>
    <xf numFmtId="168" fontId="0" fillId="6" borderId="0" xfId="1" applyNumberFormat="1" applyFont="1" applyFill="1"/>
    <xf numFmtId="168" fontId="48" fillId="6" borderId="0" xfId="1" applyNumberFormat="1" applyFont="1" applyFill="1"/>
    <xf numFmtId="0" fontId="47" fillId="6" borderId="0" xfId="0" applyFont="1" applyFill="1" applyAlignment="1">
      <alignment horizontal="right"/>
    </xf>
    <xf numFmtId="10" fontId="41" fillId="2" borderId="0" xfId="0" applyNumberFormat="1" applyFont="1" applyFill="1"/>
    <xf numFmtId="10" fontId="41" fillId="2" borderId="1" xfId="0" applyNumberFormat="1" applyFont="1" applyFill="1" applyBorder="1"/>
    <xf numFmtId="0" fontId="22" fillId="2" borderId="0" xfId="0" applyFont="1" applyFill="1"/>
    <xf numFmtId="168" fontId="0" fillId="2" borderId="0" xfId="1" applyNumberFormat="1" applyFont="1" applyFill="1"/>
    <xf numFmtId="0" fontId="63" fillId="0" borderId="0" xfId="0" applyFont="1"/>
    <xf numFmtId="166" fontId="0" fillId="2" borderId="11" xfId="1" applyNumberFormat="1" applyFont="1" applyFill="1" applyBorder="1"/>
    <xf numFmtId="166" fontId="0" fillId="2" borderId="12" xfId="1" applyNumberFormat="1" applyFont="1" applyFill="1" applyBorder="1"/>
    <xf numFmtId="0" fontId="64" fillId="0" borderId="1" xfId="0" applyFont="1" applyBorder="1"/>
    <xf numFmtId="0" fontId="64" fillId="0" borderId="1" xfId="0" applyFont="1" applyBorder="1" applyAlignment="1">
      <alignment horizontal="right"/>
    </xf>
    <xf numFmtId="0" fontId="53" fillId="0" borderId="1" xfId="0" applyFont="1" applyBorder="1"/>
    <xf numFmtId="0" fontId="48" fillId="0" borderId="1" xfId="0" applyFont="1" applyBorder="1"/>
    <xf numFmtId="0" fontId="48" fillId="0" borderId="0" xfId="0" applyFont="1" applyAlignment="1">
      <alignment horizontal="right"/>
    </xf>
    <xf numFmtId="185" fontId="48" fillId="0" borderId="0" xfId="0" applyNumberFormat="1" applyFont="1"/>
    <xf numFmtId="165" fontId="48" fillId="0" borderId="0" xfId="2" applyNumberFormat="1" applyFont="1"/>
    <xf numFmtId="185" fontId="48" fillId="0" borderId="1" xfId="0" applyNumberFormat="1" applyFont="1" applyBorder="1"/>
    <xf numFmtId="0" fontId="65" fillId="2" borderId="1" xfId="0" applyFont="1" applyFill="1" applyBorder="1"/>
    <xf numFmtId="9" fontId="46" fillId="0" borderId="0" xfId="0" applyNumberFormat="1" applyFont="1"/>
    <xf numFmtId="9" fontId="46" fillId="0" borderId="1" xfId="0" applyNumberFormat="1" applyFont="1" applyBorder="1"/>
    <xf numFmtId="0" fontId="47" fillId="2" borderId="1" xfId="0" applyFont="1" applyFill="1" applyBorder="1"/>
    <xf numFmtId="168" fontId="45" fillId="2" borderId="1" xfId="1" applyNumberFormat="1" applyFont="1" applyFill="1" applyBorder="1" applyAlignment="1">
      <alignment horizontal="right"/>
    </xf>
    <xf numFmtId="168" fontId="45" fillId="2" borderId="0" xfId="0" applyNumberFormat="1" applyFont="1" applyFill="1"/>
    <xf numFmtId="168" fontId="45" fillId="2" borderId="1" xfId="1" applyNumberFormat="1" applyFont="1" applyFill="1" applyBorder="1"/>
    <xf numFmtId="0" fontId="0" fillId="0" borderId="5" xfId="0" applyBorder="1" applyAlignment="1">
      <alignment horizontal="right"/>
    </xf>
    <xf numFmtId="165" fontId="47" fillId="0" borderId="0" xfId="2" applyNumberFormat="1" applyFont="1" applyFill="1"/>
    <xf numFmtId="14" fontId="2" fillId="6" borderId="0" xfId="0" applyNumberFormat="1" applyFont="1" applyFill="1"/>
    <xf numFmtId="0" fontId="2" fillId="5" borderId="13" xfId="0" applyFont="1" applyFill="1" applyBorder="1" applyAlignment="1">
      <alignment horizontal="right"/>
    </xf>
    <xf numFmtId="166" fontId="45" fillId="0" borderId="0" xfId="1" applyNumberFormat="1" applyFont="1" applyFill="1" applyBorder="1"/>
    <xf numFmtId="0" fontId="45" fillId="0" borderId="6" xfId="0" applyFont="1" applyBorder="1"/>
    <xf numFmtId="0" fontId="45" fillId="0" borderId="4" xfId="0" applyFont="1" applyBorder="1"/>
    <xf numFmtId="0" fontId="45" fillId="0" borderId="7" xfId="0" applyFont="1" applyBorder="1"/>
    <xf numFmtId="0" fontId="45" fillId="0" borderId="11" xfId="0" applyFont="1" applyBorder="1" applyAlignment="1">
      <alignment horizontal="right"/>
    </xf>
    <xf numFmtId="0" fontId="45" fillId="0" borderId="8" xfId="0" applyFont="1" applyBorder="1"/>
    <xf numFmtId="0" fontId="45" fillId="0" borderId="0" xfId="0" applyFont="1" applyAlignment="1">
      <alignment horizontal="right"/>
    </xf>
    <xf numFmtId="0" fontId="67" fillId="0" borderId="1" xfId="0" applyFont="1" applyBorder="1"/>
    <xf numFmtId="0" fontId="67" fillId="0" borderId="12" xfId="0" applyFont="1" applyBorder="1"/>
    <xf numFmtId="0" fontId="45" fillId="0" borderId="9" xfId="0" applyFont="1" applyBorder="1"/>
    <xf numFmtId="0" fontId="45" fillId="0" borderId="1" xfId="0" applyFont="1" applyBorder="1" applyAlignment="1">
      <alignment horizontal="right"/>
    </xf>
    <xf numFmtId="0" fontId="50" fillId="0" borderId="13" xfId="0" applyFont="1" applyBorder="1"/>
    <xf numFmtId="0" fontId="63" fillId="0" borderId="12" xfId="0" applyFont="1" applyBorder="1"/>
    <xf numFmtId="166" fontId="45" fillId="0" borderId="1" xfId="1" applyNumberFormat="1" applyFont="1" applyFill="1" applyBorder="1"/>
    <xf numFmtId="166" fontId="45" fillId="0" borderId="13" xfId="1" applyNumberFormat="1" applyFont="1" applyFill="1" applyBorder="1"/>
    <xf numFmtId="166" fontId="45" fillId="2" borderId="13" xfId="1" applyNumberFormat="1" applyFont="1" applyFill="1" applyBorder="1"/>
    <xf numFmtId="166" fontId="45" fillId="5" borderId="13" xfId="1" applyNumberFormat="1" applyFont="1" applyFill="1" applyBorder="1"/>
    <xf numFmtId="166" fontId="45" fillId="5" borderId="12" xfId="1" applyNumberFormat="1" applyFont="1" applyFill="1" applyBorder="1"/>
    <xf numFmtId="166" fontId="45" fillId="2" borderId="12" xfId="1" applyNumberFormat="1" applyFont="1" applyFill="1" applyBorder="1"/>
    <xf numFmtId="14" fontId="47" fillId="6" borderId="0" xfId="0" applyNumberFormat="1" applyFont="1" applyFill="1"/>
    <xf numFmtId="14" fontId="47" fillId="0" borderId="0" xfId="0" applyNumberFormat="1" applyFont="1"/>
    <xf numFmtId="166" fontId="0" fillId="5" borderId="1" xfId="1" applyNumberFormat="1" applyFont="1" applyFill="1" applyBorder="1" applyAlignment="1">
      <alignment horizontal="right"/>
    </xf>
    <xf numFmtId="168" fontId="0" fillId="0" borderId="0" xfId="1" applyNumberFormat="1" applyFont="1" applyFill="1"/>
    <xf numFmtId="0" fontId="12" fillId="2" borderId="0" xfId="0" applyFont="1" applyFill="1"/>
    <xf numFmtId="14" fontId="46" fillId="5" borderId="11" xfId="0" applyNumberFormat="1" applyFont="1" applyFill="1" applyBorder="1"/>
    <xf numFmtId="168" fontId="0" fillId="2" borderId="13" xfId="1" applyNumberFormat="1" applyFont="1" applyFill="1" applyBorder="1"/>
    <xf numFmtId="0" fontId="55" fillId="6" borderId="0" xfId="0" applyFont="1" applyFill="1"/>
    <xf numFmtId="0" fontId="66" fillId="6" borderId="0" xfId="0" applyFont="1" applyFill="1"/>
    <xf numFmtId="9" fontId="45" fillId="6" borderId="0" xfId="2" applyFont="1" applyFill="1"/>
    <xf numFmtId="0" fontId="22" fillId="6" borderId="0" xfId="0" applyFont="1" applyFill="1"/>
    <xf numFmtId="185" fontId="0" fillId="6" borderId="0" xfId="0" applyNumberFormat="1" applyFill="1"/>
    <xf numFmtId="185" fontId="0" fillId="6" borderId="0" xfId="0" applyNumberFormat="1" applyFill="1" applyAlignment="1">
      <alignment horizontal="right"/>
    </xf>
    <xf numFmtId="0" fontId="21" fillId="6" borderId="0" xfId="0" applyFont="1" applyFill="1"/>
    <xf numFmtId="0" fontId="21" fillId="6" borderId="1" xfId="0" applyFont="1" applyFill="1" applyBorder="1"/>
    <xf numFmtId="0" fontId="44" fillId="6" borderId="1" xfId="0" applyFont="1" applyFill="1" applyBorder="1" applyAlignment="1">
      <alignment horizontal="right"/>
    </xf>
    <xf numFmtId="0" fontId="2" fillId="6" borderId="0" xfId="0" applyFont="1" applyFill="1" applyAlignment="1">
      <alignment horizontal="right"/>
    </xf>
    <xf numFmtId="0" fontId="49" fillId="6" borderId="1" xfId="0" applyFont="1" applyFill="1" applyBorder="1"/>
    <xf numFmtId="0" fontId="5" fillId="6" borderId="1" xfId="0" applyFont="1" applyFill="1" applyBorder="1"/>
    <xf numFmtId="0" fontId="0" fillId="6" borderId="1" xfId="0" applyFill="1" applyBorder="1" applyAlignment="1">
      <alignment horizontal="right"/>
    </xf>
    <xf numFmtId="168" fontId="45" fillId="6" borderId="0" xfId="0" applyNumberFormat="1" applyFont="1" applyFill="1"/>
    <xf numFmtId="168" fontId="45" fillId="6" borderId="0" xfId="1" applyNumberFormat="1" applyFont="1" applyFill="1" applyAlignment="1">
      <alignment horizontal="right"/>
    </xf>
    <xf numFmtId="168" fontId="45" fillId="6" borderId="1" xfId="0" applyNumberFormat="1" applyFont="1" applyFill="1" applyBorder="1"/>
    <xf numFmtId="185" fontId="45" fillId="6" borderId="0" xfId="0" applyNumberFormat="1" applyFont="1" applyFill="1"/>
    <xf numFmtId="0" fontId="5" fillId="6" borderId="0" xfId="0" applyFont="1" applyFill="1" applyAlignment="1">
      <alignment horizontal="left"/>
    </xf>
    <xf numFmtId="0" fontId="66" fillId="6" borderId="1" xfId="0" applyFont="1" applyFill="1" applyBorder="1"/>
    <xf numFmtId="0" fontId="16" fillId="6" borderId="1" xfId="0" applyFont="1" applyFill="1" applyBorder="1"/>
    <xf numFmtId="0" fontId="0" fillId="6" borderId="0" xfId="0" applyFill="1" applyAlignment="1">
      <alignment horizontal="left"/>
    </xf>
    <xf numFmtId="168" fontId="45" fillId="6" borderId="0" xfId="1" applyNumberFormat="1" applyFont="1" applyFill="1"/>
    <xf numFmtId="9" fontId="46" fillId="2" borderId="0" xfId="0" applyNumberFormat="1" applyFont="1" applyFill="1"/>
    <xf numFmtId="9" fontId="46" fillId="2" borderId="1" xfId="0" applyNumberFormat="1" applyFont="1" applyFill="1" applyBorder="1"/>
    <xf numFmtId="15" fontId="47" fillId="6" borderId="0" xfId="0" applyNumberFormat="1" applyFont="1" applyFill="1"/>
    <xf numFmtId="0" fontId="53" fillId="0" borderId="0" xfId="0" applyFont="1"/>
    <xf numFmtId="0" fontId="53" fillId="2" borderId="0" xfId="0" applyFont="1" applyFill="1"/>
    <xf numFmtId="0" fontId="0" fillId="17" borderId="0" xfId="0" applyFill="1"/>
    <xf numFmtId="0" fontId="56" fillId="0" borderId="0" xfId="0" applyFont="1"/>
    <xf numFmtId="0" fontId="45" fillId="0" borderId="8" xfId="0" applyFont="1" applyBorder="1" applyAlignment="1">
      <alignment horizontal="left"/>
    </xf>
    <xf numFmtId="168" fontId="69" fillId="0" borderId="0" xfId="1" applyNumberFormat="1" applyFont="1" applyBorder="1"/>
    <xf numFmtId="168" fontId="69" fillId="0" borderId="1" xfId="1" applyNumberFormat="1" applyFont="1" applyBorder="1"/>
    <xf numFmtId="168" fontId="45" fillId="0" borderId="0" xfId="1" applyNumberFormat="1" applyFont="1" applyBorder="1"/>
    <xf numFmtId="168" fontId="45" fillId="0" borderId="1" xfId="1" applyNumberFormat="1" applyFont="1" applyBorder="1"/>
    <xf numFmtId="9" fontId="69" fillId="0" borderId="0" xfId="2" applyFont="1" applyBorder="1"/>
    <xf numFmtId="9" fontId="45" fillId="0" borderId="0" xfId="2" applyFont="1" applyBorder="1"/>
    <xf numFmtId="9" fontId="45" fillId="0" borderId="1" xfId="2" applyFont="1" applyBorder="1"/>
    <xf numFmtId="168" fontId="0" fillId="0" borderId="1" xfId="1" applyNumberFormat="1" applyFont="1" applyFill="1" applyBorder="1"/>
    <xf numFmtId="168" fontId="0" fillId="0" borderId="7" xfId="1" applyNumberFormat="1" applyFont="1" applyFill="1" applyBorder="1"/>
    <xf numFmtId="166" fontId="0" fillId="2" borderId="13" xfId="1" applyNumberFormat="1" applyFont="1" applyFill="1" applyBorder="1"/>
    <xf numFmtId="165" fontId="0" fillId="2" borderId="0" xfId="2" applyNumberFormat="1" applyFont="1" applyFill="1" applyBorder="1"/>
    <xf numFmtId="9" fontId="69" fillId="0" borderId="1" xfId="2" applyFont="1" applyBorder="1"/>
    <xf numFmtId="187" fontId="0" fillId="0" borderId="0" xfId="0" applyNumberFormat="1"/>
    <xf numFmtId="9" fontId="2" fillId="0" borderId="0" xfId="2" applyFont="1" applyFill="1"/>
    <xf numFmtId="44" fontId="5" fillId="2" borderId="1" xfId="12" applyFont="1" applyFill="1" applyBorder="1"/>
    <xf numFmtId="166" fontId="0" fillId="0" borderId="6" xfId="1" applyNumberFormat="1" applyFont="1" applyFill="1" applyBorder="1"/>
    <xf numFmtId="166" fontId="0" fillId="0" borderId="4" xfId="1" applyNumberFormat="1" applyFont="1" applyFill="1" applyBorder="1"/>
    <xf numFmtId="14" fontId="8" fillId="0" borderId="4" xfId="0" applyNumberFormat="1" applyFont="1" applyBorder="1"/>
    <xf numFmtId="0" fontId="0" fillId="0" borderId="4" xfId="0" applyBorder="1" applyAlignment="1">
      <alignment horizontal="right"/>
    </xf>
    <xf numFmtId="44" fontId="0" fillId="0" borderId="3" xfId="0" applyNumberFormat="1" applyBorder="1"/>
    <xf numFmtId="43" fontId="5" fillId="2" borderId="4" xfId="0" applyNumberFormat="1" applyFont="1" applyFill="1" applyBorder="1"/>
    <xf numFmtId="168" fontId="0" fillId="2" borderId="0" xfId="1" applyNumberFormat="1" applyFont="1" applyFill="1" applyBorder="1"/>
    <xf numFmtId="166" fontId="0" fillId="2" borderId="1" xfId="1" applyNumberFormat="1" applyFont="1" applyFill="1" applyBorder="1"/>
    <xf numFmtId="9" fontId="2" fillId="0" borderId="1" xfId="2" applyFont="1" applyFill="1" applyBorder="1"/>
    <xf numFmtId="0" fontId="42" fillId="0" borderId="7" xfId="0" applyFont="1" applyBorder="1"/>
    <xf numFmtId="0" fontId="42" fillId="0" borderId="10" xfId="0" applyFont="1" applyBorder="1"/>
    <xf numFmtId="0" fontId="71" fillId="0" borderId="7" xfId="0" applyFont="1" applyBorder="1"/>
    <xf numFmtId="0" fontId="72" fillId="0" borderId="1" xfId="0" applyFont="1" applyBorder="1"/>
    <xf numFmtId="0" fontId="2" fillId="2" borderId="0" xfId="0" applyFont="1" applyFill="1"/>
    <xf numFmtId="0" fontId="35" fillId="4" borderId="12" xfId="0" applyFont="1" applyFill="1" applyBorder="1" applyAlignment="1">
      <alignment horizontal="right"/>
    </xf>
    <xf numFmtId="0" fontId="41" fillId="0" borderId="8" xfId="0" applyFont="1" applyBorder="1" applyAlignment="1">
      <alignment horizontal="center"/>
    </xf>
    <xf numFmtId="0" fontId="41" fillId="0" borderId="0" xfId="0" applyFont="1" applyAlignment="1">
      <alignment horizontal="center"/>
    </xf>
    <xf numFmtId="0" fontId="41" fillId="0" borderId="9" xfId="0" applyFont="1" applyBorder="1" applyAlignment="1">
      <alignment horizontal="center"/>
    </xf>
    <xf numFmtId="0" fontId="41" fillId="0" borderId="1" xfId="0" applyFont="1" applyBorder="1" applyAlignment="1">
      <alignment horizontal="center"/>
    </xf>
    <xf numFmtId="0" fontId="68" fillId="0" borderId="9" xfId="0" applyFont="1" applyBorder="1" applyAlignment="1">
      <alignment horizontal="right"/>
    </xf>
    <xf numFmtId="0" fontId="68" fillId="0" borderId="1" xfId="0" applyFont="1" applyBorder="1" applyAlignment="1">
      <alignment horizontal="right"/>
    </xf>
    <xf numFmtId="0" fontId="47" fillId="0" borderId="0" xfId="0" applyFont="1" applyAlignment="1">
      <alignment horizontal="right"/>
    </xf>
    <xf numFmtId="14" fontId="46" fillId="6" borderId="0" xfId="0" applyNumberFormat="1" applyFont="1" applyFill="1"/>
    <xf numFmtId="166" fontId="0" fillId="5" borderId="0" xfId="1" applyNumberFormat="1" applyFont="1" applyFill="1" applyBorder="1" applyAlignment="1">
      <alignment horizontal="right"/>
    </xf>
    <xf numFmtId="168" fontId="2" fillId="2" borderId="0" xfId="1" applyNumberFormat="1" applyFont="1" applyFill="1" applyBorder="1"/>
    <xf numFmtId="168" fontId="2" fillId="2" borderId="13" xfId="1" applyNumberFormat="1" applyFont="1" applyFill="1" applyBorder="1"/>
    <xf numFmtId="0" fontId="63" fillId="2" borderId="0" xfId="0" applyFont="1" applyFill="1"/>
    <xf numFmtId="15" fontId="47" fillId="0" borderId="0" xfId="0" applyNumberFormat="1" applyFont="1"/>
    <xf numFmtId="9" fontId="45" fillId="0" borderId="0" xfId="2" applyFont="1" applyFill="1"/>
    <xf numFmtId="14" fontId="46" fillId="5" borderId="7" xfId="0" applyNumberFormat="1" applyFont="1" applyFill="1" applyBorder="1"/>
    <xf numFmtId="0" fontId="52" fillId="25" borderId="0" xfId="0" applyFont="1" applyFill="1"/>
    <xf numFmtId="0" fontId="0" fillId="25" borderId="0" xfId="0" applyFill="1"/>
    <xf numFmtId="0" fontId="48" fillId="25" borderId="0" xfId="0" applyFont="1" applyFill="1"/>
    <xf numFmtId="0" fontId="47" fillId="25" borderId="0" xfId="0" quotePrefix="1" applyFont="1" applyFill="1"/>
    <xf numFmtId="0" fontId="46" fillId="25" borderId="0" xfId="0" applyFont="1" applyFill="1"/>
    <xf numFmtId="0" fontId="45" fillId="25" borderId="0" xfId="0" applyFont="1" applyFill="1"/>
    <xf numFmtId="0" fontId="47" fillId="25" borderId="0" xfId="0" applyFont="1" applyFill="1"/>
    <xf numFmtId="0" fontId="0" fillId="0" borderId="6" xfId="0" applyBorder="1"/>
    <xf numFmtId="0" fontId="0" fillId="0" borderId="3" xfId="0" applyBorder="1"/>
    <xf numFmtId="0" fontId="72" fillId="4" borderId="1" xfId="0" applyFont="1" applyFill="1" applyBorder="1"/>
    <xf numFmtId="0" fontId="21" fillId="0" borderId="0" xfId="0" applyFont="1"/>
    <xf numFmtId="0" fontId="41" fillId="6" borderId="0" xfId="0" applyFont="1" applyFill="1"/>
    <xf numFmtId="15" fontId="41" fillId="6" borderId="0" xfId="0" applyNumberFormat="1" applyFont="1" applyFill="1" applyAlignment="1">
      <alignment horizontal="left"/>
    </xf>
    <xf numFmtId="0" fontId="41" fillId="6" borderId="0" xfId="0" applyFont="1" applyFill="1" applyAlignment="1">
      <alignment horizontal="right"/>
    </xf>
    <xf numFmtId="15" fontId="41" fillId="6" borderId="0" xfId="0" applyNumberFormat="1" applyFont="1" applyFill="1" applyAlignment="1">
      <alignment horizontal="right"/>
    </xf>
    <xf numFmtId="0" fontId="74" fillId="6" borderId="0" xfId="0" applyFont="1" applyFill="1"/>
    <xf numFmtId="165" fontId="49" fillId="9" borderId="0" xfId="0" applyNumberFormat="1" applyFont="1" applyFill="1"/>
    <xf numFmtId="166" fontId="0" fillId="0" borderId="2" xfId="0" applyNumberFormat="1" applyBorder="1"/>
    <xf numFmtId="0" fontId="3" fillId="0" borderId="0" xfId="0" applyFont="1"/>
    <xf numFmtId="0" fontId="0" fillId="11" borderId="0" xfId="0" applyFill="1"/>
    <xf numFmtId="14" fontId="46" fillId="0" borderId="0" xfId="0" applyNumberFormat="1" applyFont="1"/>
    <xf numFmtId="166" fontId="0" fillId="0" borderId="1" xfId="1" applyNumberFormat="1" applyFont="1" applyBorder="1"/>
    <xf numFmtId="168" fontId="0" fillId="0" borderId="1" xfId="0" applyNumberFormat="1" applyBorder="1"/>
    <xf numFmtId="0" fontId="54" fillId="0" borderId="0" xfId="0" applyFont="1"/>
    <xf numFmtId="0" fontId="76" fillId="0" borderId="1" xfId="0" applyFont="1" applyBorder="1"/>
    <xf numFmtId="0" fontId="54" fillId="0" borderId="1" xfId="0" applyFont="1" applyBorder="1"/>
    <xf numFmtId="166" fontId="54" fillId="0" borderId="0" xfId="1" applyNumberFormat="1" applyFont="1" applyFill="1" applyBorder="1"/>
    <xf numFmtId="166" fontId="54" fillId="0" borderId="1" xfId="1" applyNumberFormat="1" applyFont="1" applyFill="1" applyBorder="1"/>
    <xf numFmtId="9" fontId="54" fillId="0" borderId="0" xfId="2" applyFont="1"/>
    <xf numFmtId="0" fontId="76" fillId="0" borderId="0" xfId="0" applyFont="1"/>
    <xf numFmtId="166" fontId="54" fillId="2" borderId="0" xfId="1" applyNumberFormat="1" applyFont="1" applyFill="1" applyBorder="1"/>
    <xf numFmtId="165" fontId="54" fillId="0" borderId="0" xfId="2" applyNumberFormat="1" applyFont="1"/>
    <xf numFmtId="166" fontId="54" fillId="2" borderId="2" xfId="1" applyNumberFormat="1" applyFont="1" applyFill="1" applyBorder="1"/>
    <xf numFmtId="165" fontId="54" fillId="0" borderId="1" xfId="0" applyNumberFormat="1" applyFont="1" applyBorder="1"/>
    <xf numFmtId="9" fontId="54" fillId="0" borderId="0" xfId="0" applyNumberFormat="1" applyFont="1"/>
    <xf numFmtId="9" fontId="54" fillId="0" borderId="0" xfId="2" applyFont="1" applyBorder="1"/>
    <xf numFmtId="166" fontId="54" fillId="0" borderId="2" xfId="1" applyNumberFormat="1" applyFont="1" applyFill="1" applyBorder="1"/>
    <xf numFmtId="9" fontId="76" fillId="0" borderId="2" xfId="2" applyFont="1" applyBorder="1"/>
    <xf numFmtId="166" fontId="54" fillId="0" borderId="0" xfId="0" applyNumberFormat="1" applyFont="1"/>
    <xf numFmtId="2" fontId="54" fillId="0" borderId="0" xfId="0" applyNumberFormat="1" applyFont="1"/>
    <xf numFmtId="166" fontId="54" fillId="19" borderId="1" xfId="1" applyNumberFormat="1" applyFont="1" applyFill="1" applyBorder="1"/>
    <xf numFmtId="166" fontId="54" fillId="19" borderId="2" xfId="1" applyNumberFormat="1" applyFont="1" applyFill="1" applyBorder="1"/>
    <xf numFmtId="0" fontId="54" fillId="0" borderId="0" xfId="0" applyFont="1" applyAlignment="1">
      <alignment horizontal="right"/>
    </xf>
    <xf numFmtId="0" fontId="54" fillId="0" borderId="0" xfId="0" applyFont="1" applyAlignment="1">
      <alignment horizontal="center"/>
    </xf>
    <xf numFmtId="165" fontId="76" fillId="14" borderId="0" xfId="0" applyNumberFormat="1" applyFont="1" applyFill="1"/>
    <xf numFmtId="0" fontId="54" fillId="0" borderId="6" xfId="0" applyFont="1" applyBorder="1"/>
    <xf numFmtId="9" fontId="54" fillId="0" borderId="3" xfId="2" applyFont="1" applyBorder="1"/>
    <xf numFmtId="0" fontId="54" fillId="14" borderId="0" xfId="0" applyFont="1" applyFill="1"/>
    <xf numFmtId="0" fontId="17" fillId="4" borderId="0" xfId="0" applyFont="1" applyFill="1"/>
    <xf numFmtId="0" fontId="2" fillId="2" borderId="1" xfId="0" applyFont="1" applyFill="1" applyBorder="1"/>
    <xf numFmtId="165" fontId="78" fillId="0" borderId="0" xfId="2" applyNumberFormat="1" applyFont="1" applyFill="1" applyBorder="1" applyAlignment="1">
      <alignment horizontal="right"/>
    </xf>
    <xf numFmtId="0" fontId="0" fillId="27" borderId="0" xfId="0" applyFill="1"/>
    <xf numFmtId="0" fontId="8" fillId="27" borderId="0" xfId="0" applyFont="1" applyFill="1" applyAlignment="1">
      <alignment horizontal="right"/>
    </xf>
    <xf numFmtId="166" fontId="0" fillId="27" borderId="0" xfId="0" applyNumberFormat="1" applyFill="1"/>
    <xf numFmtId="168" fontId="0" fillId="27" borderId="0" xfId="1" applyNumberFormat="1" applyFont="1" applyFill="1" applyBorder="1"/>
    <xf numFmtId="165" fontId="61" fillId="27" borderId="0" xfId="2" applyNumberFormat="1" applyFont="1" applyFill="1" applyBorder="1"/>
    <xf numFmtId="165" fontId="61" fillId="27" borderId="1" xfId="2" applyNumberFormat="1" applyFont="1" applyFill="1" applyBorder="1"/>
    <xf numFmtId="0" fontId="60" fillId="27" borderId="0" xfId="0" applyFont="1" applyFill="1"/>
    <xf numFmtId="184" fontId="0" fillId="27" borderId="0" xfId="1" applyNumberFormat="1" applyFont="1" applyFill="1" applyBorder="1"/>
    <xf numFmtId="168" fontId="0" fillId="27" borderId="0" xfId="1" applyNumberFormat="1" applyFont="1" applyFill="1" applyBorder="1" applyAlignment="1">
      <alignment horizontal="right"/>
    </xf>
    <xf numFmtId="165" fontId="0" fillId="27" borderId="0" xfId="2" applyNumberFormat="1" applyFont="1" applyFill="1" applyBorder="1"/>
    <xf numFmtId="168" fontId="0" fillId="27" borderId="1" xfId="1" applyNumberFormat="1" applyFont="1" applyFill="1" applyBorder="1" applyAlignment="1">
      <alignment horizontal="right"/>
    </xf>
    <xf numFmtId="168" fontId="0" fillId="27" borderId="1" xfId="1" applyNumberFormat="1" applyFont="1" applyFill="1" applyBorder="1"/>
    <xf numFmtId="0" fontId="0" fillId="27" borderId="1" xfId="0" applyFill="1" applyBorder="1"/>
    <xf numFmtId="165" fontId="0" fillId="27" borderId="1" xfId="2" applyNumberFormat="1" applyFont="1" applyFill="1" applyBorder="1"/>
    <xf numFmtId="9" fontId="0" fillId="27" borderId="0" xfId="2" applyFont="1" applyFill="1" applyBorder="1"/>
    <xf numFmtId="9" fontId="0" fillId="27" borderId="1" xfId="2" applyFont="1" applyFill="1" applyBorder="1"/>
    <xf numFmtId="9" fontId="0" fillId="27" borderId="0" xfId="0" applyNumberFormat="1" applyFill="1"/>
    <xf numFmtId="0" fontId="5" fillId="27" borderId="0" xfId="0" applyFont="1" applyFill="1"/>
    <xf numFmtId="2" fontId="0" fillId="27" borderId="0" xfId="0" applyNumberFormat="1" applyFill="1"/>
    <xf numFmtId="1" fontId="0" fillId="27" borderId="0" xfId="0" applyNumberFormat="1" applyFill="1"/>
    <xf numFmtId="166" fontId="0" fillId="27" borderId="1" xfId="0" applyNumberFormat="1" applyFill="1" applyBorder="1"/>
    <xf numFmtId="2" fontId="0" fillId="27" borderId="0" xfId="0" applyNumberFormat="1" applyFill="1" applyAlignment="1">
      <alignment horizontal="right"/>
    </xf>
    <xf numFmtId="43" fontId="0" fillId="27" borderId="0" xfId="1" applyFont="1" applyFill="1" applyBorder="1"/>
    <xf numFmtId="165" fontId="0" fillId="27" borderId="0" xfId="2" applyNumberFormat="1" applyFont="1" applyFill="1"/>
    <xf numFmtId="0" fontId="39" fillId="0" borderId="0" xfId="0" applyFont="1"/>
    <xf numFmtId="166" fontId="2" fillId="27" borderId="0" xfId="0" applyNumberFormat="1" applyFont="1" applyFill="1"/>
    <xf numFmtId="0" fontId="2" fillId="30" borderId="1" xfId="0" applyFont="1" applyFill="1" applyBorder="1"/>
    <xf numFmtId="168" fontId="0" fillId="2" borderId="1" xfId="1" applyNumberFormat="1" applyFont="1" applyFill="1" applyBorder="1" applyAlignment="1">
      <alignment horizontal="right"/>
    </xf>
    <xf numFmtId="9" fontId="3" fillId="2" borderId="0" xfId="2" applyFont="1" applyFill="1" applyBorder="1"/>
    <xf numFmtId="170" fontId="0" fillId="2" borderId="0" xfId="0" applyNumberFormat="1" applyFill="1"/>
    <xf numFmtId="43" fontId="0" fillId="27" borderId="0" xfId="0" applyNumberFormat="1" applyFill="1"/>
    <xf numFmtId="2" fontId="0" fillId="2" borderId="0" xfId="0" applyNumberFormat="1" applyFill="1"/>
    <xf numFmtId="0" fontId="0" fillId="27" borderId="0" xfId="1" applyNumberFormat="1" applyFont="1" applyFill="1" applyBorder="1"/>
    <xf numFmtId="170" fontId="0" fillId="27" borderId="0" xfId="1" applyNumberFormat="1" applyFont="1" applyFill="1" applyBorder="1"/>
    <xf numFmtId="2" fontId="0" fillId="27" borderId="1" xfId="0" applyNumberFormat="1" applyFill="1" applyBorder="1"/>
    <xf numFmtId="164" fontId="0" fillId="2" borderId="0" xfId="0" applyNumberFormat="1" applyFill="1"/>
    <xf numFmtId="166" fontId="0" fillId="2" borderId="0" xfId="0" applyNumberFormat="1" applyFill="1"/>
    <xf numFmtId="165" fontId="0" fillId="2" borderId="0" xfId="0" applyNumberFormat="1" applyFill="1"/>
    <xf numFmtId="165" fontId="49" fillId="0" borderId="0" xfId="0" applyNumberFormat="1" applyFont="1"/>
    <xf numFmtId="0" fontId="0" fillId="31" borderId="0" xfId="0" applyFill="1"/>
    <xf numFmtId="165" fontId="0" fillId="8" borderId="0" xfId="0" applyNumberFormat="1" applyFill="1"/>
    <xf numFmtId="0" fontId="0" fillId="32" borderId="0" xfId="0" applyFill="1"/>
    <xf numFmtId="0" fontId="24" fillId="11" borderId="0" xfId="0" applyFont="1" applyFill="1"/>
    <xf numFmtId="0" fontId="24" fillId="31" borderId="0" xfId="0" applyFont="1" applyFill="1"/>
    <xf numFmtId="0" fontId="8" fillId="33" borderId="0" xfId="0" applyFont="1" applyFill="1"/>
    <xf numFmtId="0" fontId="0" fillId="33" borderId="0" xfId="0" applyFill="1"/>
    <xf numFmtId="165" fontId="0" fillId="11" borderId="0" xfId="2" applyNumberFormat="1" applyFont="1" applyFill="1" applyAlignment="1"/>
    <xf numFmtId="0" fontId="79" fillId="6" borderId="0" xfId="0" applyFont="1" applyFill="1"/>
    <xf numFmtId="0" fontId="5" fillId="31" borderId="0" xfId="0" applyFont="1" applyFill="1"/>
    <xf numFmtId="0" fontId="32" fillId="6" borderId="0" xfId="0" applyFont="1" applyFill="1"/>
    <xf numFmtId="15" fontId="46" fillId="6" borderId="0" xfId="0" applyNumberFormat="1" applyFont="1" applyFill="1"/>
    <xf numFmtId="9" fontId="0" fillId="0" borderId="0" xfId="2" applyFont="1" applyFill="1"/>
    <xf numFmtId="166" fontId="2" fillId="0" borderId="0" xfId="0" applyNumberFormat="1" applyFont="1" applyAlignment="1">
      <alignment horizontal="right"/>
    </xf>
    <xf numFmtId="166" fontId="2" fillId="0" borderId="1" xfId="0" applyNumberFormat="1" applyFont="1" applyBorder="1"/>
    <xf numFmtId="166" fontId="0" fillId="0" borderId="2" xfId="1" applyNumberFormat="1" applyFont="1" applyBorder="1"/>
    <xf numFmtId="0" fontId="82" fillId="37" borderId="0" xfId="0" applyFont="1" applyFill="1"/>
    <xf numFmtId="166" fontId="0" fillId="26" borderId="0" xfId="1" applyNumberFormat="1" applyFont="1" applyFill="1" applyBorder="1"/>
    <xf numFmtId="166" fontId="0" fillId="26" borderId="1" xfId="1" applyNumberFormat="1" applyFont="1" applyFill="1" applyBorder="1"/>
    <xf numFmtId="166" fontId="0" fillId="11" borderId="0" xfId="1" applyNumberFormat="1" applyFont="1" applyFill="1" applyBorder="1"/>
    <xf numFmtId="0" fontId="83" fillId="37" borderId="0" xfId="0" applyFont="1" applyFill="1"/>
    <xf numFmtId="166" fontId="0" fillId="3" borderId="0" xfId="1" applyNumberFormat="1" applyFont="1" applyFill="1" applyBorder="1"/>
    <xf numFmtId="166" fontId="0" fillId="3" borderId="1" xfId="1" applyNumberFormat="1" applyFont="1" applyFill="1" applyBorder="1"/>
    <xf numFmtId="0" fontId="0" fillId="3" borderId="0" xfId="0" applyFill="1"/>
    <xf numFmtId="9" fontId="0" fillId="0" borderId="1" xfId="2" applyFont="1" applyFill="1" applyBorder="1"/>
    <xf numFmtId="0" fontId="0" fillId="0" borderId="2" xfId="0" applyBorder="1"/>
    <xf numFmtId="166" fontId="0" fillId="3" borderId="0" xfId="0" applyNumberFormat="1" applyFill="1"/>
    <xf numFmtId="0" fontId="0" fillId="3" borderId="1" xfId="0" applyFill="1" applyBorder="1"/>
    <xf numFmtId="166" fontId="0" fillId="3" borderId="1" xfId="0" applyNumberFormat="1" applyFill="1" applyBorder="1"/>
    <xf numFmtId="166" fontId="0" fillId="3" borderId="2" xfId="1" applyNumberFormat="1" applyFont="1" applyFill="1" applyBorder="1"/>
    <xf numFmtId="168" fontId="0" fillId="3" borderId="0" xfId="1" applyNumberFormat="1" applyFont="1" applyFill="1"/>
    <xf numFmtId="166" fontId="0" fillId="12" borderId="0" xfId="1" applyNumberFormat="1" applyFont="1" applyFill="1" applyBorder="1"/>
    <xf numFmtId="166" fontId="17" fillId="4" borderId="0" xfId="0" applyNumberFormat="1" applyFont="1" applyFill="1"/>
    <xf numFmtId="168" fontId="0" fillId="3" borderId="0" xfId="0" applyNumberFormat="1" applyFill="1"/>
    <xf numFmtId="166" fontId="75" fillId="3" borderId="1" xfId="16" applyNumberFormat="1" applyFont="1" applyFill="1" applyBorder="1"/>
    <xf numFmtId="166" fontId="75" fillId="0" borderId="1" xfId="16" applyNumberFormat="1" applyFont="1" applyFill="1" applyBorder="1"/>
    <xf numFmtId="168" fontId="75" fillId="0" borderId="0" xfId="16" applyNumberFormat="1" applyFont="1" applyFill="1" applyBorder="1"/>
    <xf numFmtId="166" fontId="75" fillId="0" borderId="0" xfId="16" applyNumberFormat="1" applyFont="1" applyFill="1" applyBorder="1"/>
    <xf numFmtId="10" fontId="0" fillId="0" borderId="1" xfId="2" applyNumberFormat="1" applyFont="1" applyFill="1" applyBorder="1"/>
    <xf numFmtId="10" fontId="0" fillId="36" borderId="1" xfId="2" applyNumberFormat="1" applyFont="1" applyFill="1" applyBorder="1"/>
    <xf numFmtId="166" fontId="0" fillId="2" borderId="1" xfId="0" applyNumberFormat="1" applyFill="1" applyBorder="1"/>
    <xf numFmtId="0" fontId="35" fillId="39" borderId="1" xfId="0" applyFont="1" applyFill="1" applyBorder="1"/>
    <xf numFmtId="0" fontId="86" fillId="0" borderId="0" xfId="0" applyFont="1"/>
    <xf numFmtId="0" fontId="35" fillId="39" borderId="0" xfId="0" applyFont="1" applyFill="1"/>
    <xf numFmtId="0" fontId="0" fillId="4" borderId="0" xfId="0" applyFill="1"/>
    <xf numFmtId="0" fontId="82" fillId="4" borderId="0" xfId="0" applyFont="1" applyFill="1"/>
    <xf numFmtId="166" fontId="2" fillId="0" borderId="1" xfId="0" applyNumberFormat="1" applyFont="1" applyBorder="1" applyAlignment="1">
      <alignment horizontal="right"/>
    </xf>
    <xf numFmtId="22" fontId="46" fillId="0" borderId="0" xfId="0" applyNumberFormat="1" applyFont="1" applyAlignment="1">
      <alignment horizontal="left"/>
    </xf>
    <xf numFmtId="0" fontId="27" fillId="4" borderId="0" xfId="0" applyFont="1" applyFill="1" applyAlignment="1">
      <alignment vertical="center"/>
    </xf>
    <xf numFmtId="0" fontId="0" fillId="0" borderId="0" xfId="0" applyAlignment="1">
      <alignment vertical="top"/>
    </xf>
    <xf numFmtId="0" fontId="2" fillId="0" borderId="1" xfId="0" applyFont="1" applyBorder="1" applyAlignment="1">
      <alignment horizontal="right"/>
    </xf>
    <xf numFmtId="0" fontId="30" fillId="0" borderId="0" xfId="0" applyFont="1"/>
    <xf numFmtId="0" fontId="16" fillId="0" borderId="0" xfId="0" applyFont="1"/>
    <xf numFmtId="0" fontId="0" fillId="41" borderId="0" xfId="0" applyFill="1"/>
    <xf numFmtId="166" fontId="2" fillId="0" borderId="0" xfId="1" applyNumberFormat="1" applyFont="1" applyFill="1" applyBorder="1"/>
    <xf numFmtId="166" fontId="5" fillId="0" borderId="0" xfId="0" applyNumberFormat="1" applyFont="1"/>
    <xf numFmtId="0" fontId="41" fillId="0" borderId="1" xfId="0" applyFont="1" applyBorder="1" applyAlignment="1">
      <alignment horizontal="right"/>
    </xf>
    <xf numFmtId="166" fontId="5" fillId="2" borderId="0" xfId="0" applyNumberFormat="1" applyFont="1" applyFill="1"/>
    <xf numFmtId="0" fontId="35" fillId="4" borderId="0" xfId="0" applyFont="1" applyFill="1"/>
    <xf numFmtId="0" fontId="89" fillId="39" borderId="0" xfId="0" applyFont="1" applyFill="1" applyAlignment="1">
      <alignment vertical="center"/>
    </xf>
    <xf numFmtId="0" fontId="27" fillId="4" borderId="9" xfId="0" applyFont="1" applyFill="1" applyBorder="1"/>
    <xf numFmtId="0" fontId="35" fillId="0" borderId="12" xfId="0" applyFont="1" applyBorder="1"/>
    <xf numFmtId="0" fontId="27" fillId="0" borderId="0" xfId="0" applyFont="1" applyAlignment="1">
      <alignment vertical="center"/>
    </xf>
    <xf numFmtId="0" fontId="91" fillId="4" borderId="0" xfId="0" applyFont="1" applyFill="1"/>
    <xf numFmtId="0" fontId="72" fillId="4" borderId="0" xfId="0" applyFont="1" applyFill="1"/>
    <xf numFmtId="0" fontId="92" fillId="4" borderId="0" xfId="0" applyFont="1" applyFill="1"/>
    <xf numFmtId="0" fontId="93" fillId="4" borderId="1" xfId="0" applyFont="1" applyFill="1" applyBorder="1"/>
    <xf numFmtId="0" fontId="94" fillId="4" borderId="1" xfId="0" applyFont="1" applyFill="1" applyBorder="1"/>
    <xf numFmtId="0" fontId="36" fillId="4" borderId="0" xfId="0" applyFont="1" applyFill="1"/>
    <xf numFmtId="166" fontId="2" fillId="0" borderId="0" xfId="1" applyNumberFormat="1" applyFont="1" applyFill="1" applyBorder="1" applyAlignment="1">
      <alignment horizontal="right"/>
    </xf>
    <xf numFmtId="0" fontId="2" fillId="0" borderId="0" xfId="0" applyFont="1" applyAlignment="1">
      <alignment horizontal="center"/>
    </xf>
    <xf numFmtId="0" fontId="4" fillId="0" borderId="4" xfId="0" applyFont="1" applyBorder="1"/>
    <xf numFmtId="0" fontId="84" fillId="0" borderId="4" xfId="0" applyFont="1" applyBorder="1"/>
    <xf numFmtId="0" fontId="84" fillId="0" borderId="0" xfId="0" applyFont="1"/>
    <xf numFmtId="0" fontId="4" fillId="0" borderId="1" xfId="0" applyFont="1" applyBorder="1"/>
    <xf numFmtId="0" fontId="95" fillId="4" borderId="0" xfId="0" applyFont="1" applyFill="1"/>
    <xf numFmtId="0" fontId="96" fillId="4" borderId="3" xfId="0" applyFont="1" applyFill="1" applyBorder="1"/>
    <xf numFmtId="0" fontId="96" fillId="4" borderId="4" xfId="0" applyFont="1" applyFill="1" applyBorder="1"/>
    <xf numFmtId="0" fontId="4" fillId="0" borderId="0" xfId="0" applyFont="1"/>
    <xf numFmtId="0" fontId="18" fillId="4" borderId="4" xfId="0" applyFont="1" applyFill="1" applyBorder="1"/>
    <xf numFmtId="0" fontId="96" fillId="4" borderId="0" xfId="0" applyFont="1" applyFill="1"/>
    <xf numFmtId="0" fontId="82" fillId="12" borderId="0" xfId="0" applyFont="1" applyFill="1"/>
    <xf numFmtId="0" fontId="83" fillId="12" borderId="0" xfId="0" applyFont="1" applyFill="1"/>
    <xf numFmtId="0" fontId="16" fillId="12" borderId="0" xfId="0" applyFont="1" applyFill="1"/>
    <xf numFmtId="0" fontId="97" fillId="4" borderId="1" xfId="0" applyFont="1" applyFill="1" applyBorder="1"/>
    <xf numFmtId="166" fontId="98" fillId="4" borderId="1" xfId="1" applyNumberFormat="1" applyFont="1" applyFill="1" applyBorder="1"/>
    <xf numFmtId="10" fontId="0" fillId="35" borderId="0" xfId="2" applyNumberFormat="1" applyFont="1" applyFill="1"/>
    <xf numFmtId="0" fontId="5" fillId="0" borderId="1" xfId="0" applyFont="1" applyBorder="1" applyAlignment="1">
      <alignment horizontal="left"/>
    </xf>
    <xf numFmtId="3" fontId="0" fillId="0" borderId="0" xfId="0" applyNumberFormat="1"/>
    <xf numFmtId="10" fontId="0" fillId="0" borderId="0" xfId="2" applyNumberFormat="1" applyFont="1" applyFill="1"/>
    <xf numFmtId="166" fontId="0" fillId="0" borderId="11" xfId="0" applyNumberFormat="1" applyBorder="1"/>
    <xf numFmtId="166" fontId="0" fillId="0" borderId="12" xfId="0" applyNumberFormat="1" applyBorder="1"/>
    <xf numFmtId="166" fontId="0" fillId="11" borderId="0" xfId="0" applyNumberFormat="1" applyFill="1"/>
    <xf numFmtId="0" fontId="0" fillId="2" borderId="0" xfId="0" applyFill="1" applyAlignment="1">
      <alignment horizontal="left" indent="1"/>
    </xf>
    <xf numFmtId="0" fontId="83" fillId="37" borderId="1" xfId="0" applyFont="1" applyFill="1" applyBorder="1"/>
    <xf numFmtId="166" fontId="5" fillId="11" borderId="1" xfId="0" applyNumberFormat="1" applyFont="1" applyFill="1" applyBorder="1"/>
    <xf numFmtId="190" fontId="5" fillId="0" borderId="0" xfId="0" applyNumberFormat="1" applyFont="1"/>
    <xf numFmtId="166" fontId="5" fillId="11" borderId="0" xfId="0" applyNumberFormat="1" applyFont="1" applyFill="1"/>
    <xf numFmtId="9" fontId="14" fillId="0" borderId="0" xfId="2" applyFont="1" applyFill="1" applyBorder="1"/>
    <xf numFmtId="168" fontId="0" fillId="26" borderId="0" xfId="1" applyNumberFormat="1" applyFont="1" applyFill="1" applyBorder="1"/>
    <xf numFmtId="9" fontId="14" fillId="0" borderId="0" xfId="2" applyFont="1" applyBorder="1"/>
    <xf numFmtId="0" fontId="82" fillId="37" borderId="1" xfId="0" applyFont="1" applyFill="1" applyBorder="1"/>
    <xf numFmtId="166" fontId="14" fillId="42" borderId="6" xfId="1" applyNumberFormat="1" applyFont="1" applyFill="1" applyBorder="1" applyAlignment="1">
      <alignment horizontal="right"/>
    </xf>
    <xf numFmtId="166" fontId="14" fillId="42" borderId="4" xfId="1" applyNumberFormat="1" applyFont="1" applyFill="1" applyBorder="1" applyAlignment="1">
      <alignment horizontal="right"/>
    </xf>
    <xf numFmtId="0" fontId="14" fillId="42" borderId="3" xfId="0" applyFont="1" applyFill="1" applyBorder="1" applyAlignment="1">
      <alignment horizontal="right"/>
    </xf>
    <xf numFmtId="166" fontId="0" fillId="0" borderId="8" xfId="1" applyNumberFormat="1" applyFont="1" applyFill="1" applyBorder="1"/>
    <xf numFmtId="166" fontId="0" fillId="26" borderId="13" xfId="1" applyNumberFormat="1" applyFont="1" applyFill="1" applyBorder="1"/>
    <xf numFmtId="166" fontId="0" fillId="0" borderId="13" xfId="1" applyNumberFormat="1" applyFont="1" applyBorder="1"/>
    <xf numFmtId="166" fontId="0" fillId="0" borderId="9" xfId="1" applyNumberFormat="1" applyFont="1" applyBorder="1"/>
    <xf numFmtId="166" fontId="0" fillId="26" borderId="12" xfId="1" applyNumberFormat="1" applyFont="1" applyFill="1" applyBorder="1"/>
    <xf numFmtId="166" fontId="14" fillId="0" borderId="5" xfId="1" applyNumberFormat="1" applyFont="1" applyFill="1" applyBorder="1" applyAlignment="1">
      <alignment horizontal="right"/>
    </xf>
    <xf numFmtId="166" fontId="0" fillId="0" borderId="15" xfId="1" applyNumberFormat="1" applyFont="1" applyFill="1" applyBorder="1"/>
    <xf numFmtId="166" fontId="0" fillId="0" borderId="14" xfId="1" applyNumberFormat="1" applyFont="1" applyFill="1" applyBorder="1"/>
    <xf numFmtId="9" fontId="0" fillId="38" borderId="0" xfId="2" applyFont="1" applyFill="1" applyBorder="1"/>
    <xf numFmtId="9" fontId="0" fillId="11" borderId="0" xfId="2" applyFont="1" applyFill="1" applyBorder="1"/>
    <xf numFmtId="9" fontId="0" fillId="11" borderId="0" xfId="0" applyNumberFormat="1" applyFill="1"/>
    <xf numFmtId="166" fontId="0" fillId="12" borderId="1" xfId="0" applyNumberFormat="1" applyFill="1" applyBorder="1"/>
    <xf numFmtId="166" fontId="0" fillId="11" borderId="1" xfId="0" applyNumberFormat="1" applyFill="1" applyBorder="1"/>
    <xf numFmtId="9" fontId="0" fillId="11" borderId="0" xfId="2" applyFont="1" applyFill="1"/>
    <xf numFmtId="166" fontId="0" fillId="0" borderId="0" xfId="0" applyNumberFormat="1" applyAlignment="1">
      <alignment horizontal="right"/>
    </xf>
    <xf numFmtId="166" fontId="0" fillId="12" borderId="0" xfId="0" applyNumberFormat="1" applyFill="1"/>
    <xf numFmtId="166" fontId="0" fillId="0" borderId="0" xfId="2" applyNumberFormat="1" applyFont="1" applyFill="1" applyBorder="1"/>
    <xf numFmtId="0" fontId="99" fillId="0" borderId="0" xfId="0" applyFont="1"/>
    <xf numFmtId="0" fontId="4" fillId="27" borderId="4" xfId="0" applyFont="1" applyFill="1" applyBorder="1"/>
    <xf numFmtId="0" fontId="4" fillId="27" borderId="0" xfId="0" applyFont="1" applyFill="1"/>
    <xf numFmtId="0" fontId="0" fillId="27" borderId="0" xfId="0" applyFill="1" applyAlignment="1">
      <alignment horizontal="right"/>
    </xf>
    <xf numFmtId="0" fontId="82" fillId="27" borderId="0" xfId="0" applyFont="1" applyFill="1"/>
    <xf numFmtId="166" fontId="39" fillId="0" borderId="0" xfId="0" applyNumberFormat="1" applyFont="1"/>
    <xf numFmtId="2" fontId="2" fillId="0" borderId="0" xfId="0" applyNumberFormat="1" applyFont="1"/>
    <xf numFmtId="166" fontId="24" fillId="0" borderId="0" xfId="1" applyNumberFormat="1" applyFont="1" applyFill="1" applyBorder="1"/>
    <xf numFmtId="166" fontId="8" fillId="0" borderId="0" xfId="1" applyNumberFormat="1" applyFont="1" applyBorder="1"/>
    <xf numFmtId="166" fontId="86" fillId="0" borderId="0" xfId="1" applyNumberFormat="1" applyFont="1" applyFill="1" applyBorder="1"/>
    <xf numFmtId="166" fontId="86" fillId="0" borderId="0" xfId="0" applyNumberFormat="1" applyFont="1"/>
    <xf numFmtId="166" fontId="86" fillId="0" borderId="1" xfId="0" applyNumberFormat="1" applyFont="1" applyBorder="1"/>
    <xf numFmtId="166" fontId="86" fillId="5" borderId="0" xfId="0" applyNumberFormat="1" applyFont="1" applyFill="1"/>
    <xf numFmtId="166" fontId="2" fillId="2" borderId="0" xfId="0" applyNumberFormat="1" applyFont="1" applyFill="1"/>
    <xf numFmtId="0" fontId="86" fillId="0" borderId="1" xfId="0" applyFont="1" applyBorder="1"/>
    <xf numFmtId="166" fontId="2" fillId="0" borderId="1" xfId="1" applyNumberFormat="1" applyFont="1" applyFill="1" applyBorder="1" applyAlignment="1"/>
    <xf numFmtId="166" fontId="2" fillId="0" borderId="1" xfId="1" applyNumberFormat="1" applyFont="1" applyFill="1" applyBorder="1" applyAlignment="1">
      <alignment horizontal="right"/>
    </xf>
    <xf numFmtId="166" fontId="86" fillId="0" borderId="0" xfId="1" applyNumberFormat="1" applyFont="1" applyFill="1" applyBorder="1" applyAlignment="1">
      <alignment horizontal="right"/>
    </xf>
    <xf numFmtId="166" fontId="2" fillId="0" borderId="1" xfId="1" applyNumberFormat="1" applyFont="1" applyFill="1" applyBorder="1"/>
    <xf numFmtId="166" fontId="2" fillId="2" borderId="0" xfId="1" applyNumberFormat="1" applyFont="1" applyFill="1" applyBorder="1"/>
    <xf numFmtId="14" fontId="86" fillId="0" borderId="0" xfId="0" applyNumberFormat="1" applyFont="1" applyAlignment="1">
      <alignment horizontal="right"/>
    </xf>
    <xf numFmtId="0" fontId="41" fillId="0" borderId="7" xfId="0" applyFont="1" applyBorder="1"/>
    <xf numFmtId="166" fontId="2" fillId="0" borderId="7" xfId="1" applyNumberFormat="1" applyFont="1" applyFill="1" applyBorder="1"/>
    <xf numFmtId="166" fontId="30" fillId="0" borderId="0" xfId="1" applyNumberFormat="1" applyFont="1" applyFill="1" applyBorder="1"/>
    <xf numFmtId="166" fontId="2" fillId="0" borderId="0" xfId="2" applyNumberFormat="1" applyFont="1" applyFill="1" applyBorder="1"/>
    <xf numFmtId="0" fontId="2" fillId="5" borderId="0" xfId="0" applyFont="1" applyFill="1"/>
    <xf numFmtId="0" fontId="89" fillId="39" borderId="7" xfId="0" applyFont="1" applyFill="1" applyBorder="1" applyAlignment="1">
      <alignment vertical="center"/>
    </xf>
    <xf numFmtId="0" fontId="24" fillId="0" borderId="0" xfId="0" applyFont="1"/>
    <xf numFmtId="0" fontId="107" fillId="4" borderId="0" xfId="0" applyFont="1" applyFill="1"/>
    <xf numFmtId="166" fontId="41" fillId="0" borderId="0" xfId="1" applyNumberFormat="1" applyFont="1" applyFill="1" applyBorder="1" applyAlignment="1">
      <alignment horizontal="right"/>
    </xf>
    <xf numFmtId="0" fontId="108" fillId="0" borderId="0" xfId="0" applyFont="1"/>
    <xf numFmtId="18" fontId="2" fillId="0" borderId="0" xfId="0" applyNumberFormat="1" applyFont="1"/>
    <xf numFmtId="0" fontId="30" fillId="2" borderId="0" xfId="0" applyFont="1" applyFill="1"/>
    <xf numFmtId="0" fontId="110" fillId="0" borderId="7" xfId="0" applyFont="1" applyBorder="1"/>
    <xf numFmtId="0" fontId="8" fillId="0" borderId="7" xfId="0" applyFont="1" applyBorder="1" applyAlignment="1">
      <alignment horizontal="right"/>
    </xf>
    <xf numFmtId="18" fontId="8" fillId="0" borderId="0" xfId="0" applyNumberFormat="1" applyFont="1"/>
    <xf numFmtId="0" fontId="70" fillId="4" borderId="0" xfId="0" applyFont="1" applyFill="1"/>
    <xf numFmtId="0" fontId="30" fillId="0" borderId="1" xfId="0" applyFont="1" applyBorder="1"/>
    <xf numFmtId="0" fontId="106" fillId="0" borderId="0" xfId="0" applyFont="1"/>
    <xf numFmtId="166" fontId="30" fillId="0" borderId="1" xfId="1" applyNumberFormat="1" applyFont="1" applyFill="1" applyBorder="1" applyAlignment="1"/>
    <xf numFmtId="166" fontId="30" fillId="0" borderId="1" xfId="1" applyNumberFormat="1" applyFont="1" applyFill="1" applyBorder="1"/>
    <xf numFmtId="166" fontId="2" fillId="0" borderId="2" xfId="1" applyNumberFormat="1" applyFont="1" applyFill="1" applyBorder="1"/>
    <xf numFmtId="166" fontId="30" fillId="2" borderId="0" xfId="1" applyNumberFormat="1" applyFont="1" applyFill="1" applyBorder="1"/>
    <xf numFmtId="0" fontId="112" fillId="0" borderId="0" xfId="0" applyFont="1"/>
    <xf numFmtId="166" fontId="2" fillId="41" borderId="0" xfId="1" applyNumberFormat="1" applyFont="1" applyFill="1" applyBorder="1"/>
    <xf numFmtId="166" fontId="2" fillId="0" borderId="0" xfId="1" applyNumberFormat="1" applyFont="1" applyBorder="1"/>
    <xf numFmtId="166" fontId="2" fillId="0" borderId="1" xfId="1" applyNumberFormat="1" applyFont="1" applyBorder="1"/>
    <xf numFmtId="166" fontId="112" fillId="0" borderId="0" xfId="1" applyNumberFormat="1" applyFont="1" applyFill="1" applyBorder="1"/>
    <xf numFmtId="0" fontId="111" fillId="0" borderId="1" xfId="0" applyFont="1" applyBorder="1"/>
    <xf numFmtId="0" fontId="111" fillId="0" borderId="0" xfId="0" applyFont="1"/>
    <xf numFmtId="0" fontId="2" fillId="4" borderId="0" xfId="0" applyFont="1" applyFill="1"/>
    <xf numFmtId="166" fontId="2" fillId="5" borderId="0" xfId="1" applyNumberFormat="1" applyFont="1" applyFill="1" applyBorder="1"/>
    <xf numFmtId="166" fontId="2" fillId="5" borderId="1" xfId="1" applyNumberFormat="1" applyFont="1" applyFill="1" applyBorder="1"/>
    <xf numFmtId="166" fontId="2" fillId="0" borderId="2" xfId="1" applyNumberFormat="1" applyFont="1" applyBorder="1"/>
    <xf numFmtId="0" fontId="2" fillId="0" borderId="18" xfId="0" applyFont="1" applyBorder="1"/>
    <xf numFmtId="0" fontId="2" fillId="0" borderId="0" xfId="0" applyFont="1" applyAlignment="1">
      <alignment horizontal="left" indent="1"/>
    </xf>
    <xf numFmtId="0" fontId="108" fillId="4" borderId="0" xfId="0" applyFont="1" applyFill="1"/>
    <xf numFmtId="166" fontId="41" fillId="41" borderId="0" xfId="1" applyNumberFormat="1" applyFont="1" applyFill="1" applyBorder="1" applyAlignment="1">
      <alignment horizontal="right"/>
    </xf>
    <xf numFmtId="166" fontId="41" fillId="8" borderId="0" xfId="1" applyNumberFormat="1" applyFont="1" applyFill="1" applyBorder="1" applyAlignment="1">
      <alignment horizontal="right"/>
    </xf>
    <xf numFmtId="166" fontId="2" fillId="0" borderId="2" xfId="0" applyNumberFormat="1" applyFont="1" applyBorder="1"/>
    <xf numFmtId="0" fontId="70" fillId="4" borderId="1" xfId="0" applyFont="1" applyFill="1" applyBorder="1"/>
    <xf numFmtId="0" fontId="8" fillId="4" borderId="0" xfId="0" applyFont="1" applyFill="1"/>
    <xf numFmtId="170" fontId="88" fillId="11" borderId="5" xfId="0" applyNumberFormat="1" applyFont="1" applyFill="1" applyBorder="1" applyAlignment="1">
      <alignment horizontal="center" vertical="center"/>
    </xf>
    <xf numFmtId="0" fontId="103" fillId="4" borderId="1" xfId="0" applyFont="1" applyFill="1" applyBorder="1"/>
    <xf numFmtId="0" fontId="113" fillId="4" borderId="1" xfId="0" applyFont="1" applyFill="1" applyBorder="1"/>
    <xf numFmtId="0" fontId="113" fillId="4" borderId="0" xfId="0" applyFont="1" applyFill="1"/>
    <xf numFmtId="0" fontId="114" fillId="0" borderId="0" xfId="0" applyFont="1"/>
    <xf numFmtId="0" fontId="99" fillId="0" borderId="7" xfId="0" applyFont="1" applyBorder="1" applyAlignment="1">
      <alignment horizontal="right"/>
    </xf>
    <xf numFmtId="18" fontId="99" fillId="0" borderId="0" xfId="0" applyNumberFormat="1" applyFont="1"/>
    <xf numFmtId="0" fontId="116" fillId="37" borderId="0" xfId="0" applyFont="1" applyFill="1"/>
    <xf numFmtId="0" fontId="117" fillId="0" borderId="0" xfId="0" applyFont="1"/>
    <xf numFmtId="168" fontId="2" fillId="0" borderId="0" xfId="1" applyNumberFormat="1" applyFont="1" applyFill="1"/>
    <xf numFmtId="168" fontId="2" fillId="0" borderId="0" xfId="1" applyNumberFormat="1" applyFont="1" applyFill="1" applyBorder="1"/>
    <xf numFmtId="0" fontId="118" fillId="4" borderId="0" xfId="0" applyFont="1" applyFill="1"/>
    <xf numFmtId="0" fontId="119" fillId="4" borderId="0" xfId="0" applyFont="1" applyFill="1"/>
    <xf numFmtId="168" fontId="2" fillId="0" borderId="1" xfId="1" applyNumberFormat="1" applyFont="1" applyFill="1" applyBorder="1"/>
    <xf numFmtId="166" fontId="2" fillId="0" borderId="0" xfId="1" applyNumberFormat="1" applyFont="1" applyFill="1" applyBorder="1" applyAlignment="1"/>
    <xf numFmtId="0" fontId="99" fillId="0" borderId="0" xfId="0" applyFont="1" applyAlignment="1">
      <alignment horizontal="right"/>
    </xf>
    <xf numFmtId="166" fontId="2" fillId="3" borderId="0" xfId="1" applyNumberFormat="1" applyFont="1" applyFill="1" applyBorder="1"/>
    <xf numFmtId="0" fontId="101" fillId="0" borderId="0" xfId="0" applyFont="1"/>
    <xf numFmtId="166" fontId="30" fillId="0" borderId="2" xfId="1" applyNumberFormat="1" applyFont="1" applyFill="1" applyBorder="1"/>
    <xf numFmtId="0" fontId="101" fillId="0" borderId="7" xfId="0" applyFont="1" applyBorder="1"/>
    <xf numFmtId="166" fontId="86" fillId="0" borderId="1" xfId="1" applyNumberFormat="1" applyFont="1" applyFill="1" applyBorder="1" applyAlignment="1">
      <alignment horizontal="right"/>
    </xf>
    <xf numFmtId="166" fontId="86" fillId="0" borderId="1" xfId="1" applyNumberFormat="1" applyFont="1" applyFill="1" applyBorder="1"/>
    <xf numFmtId="0" fontId="41" fillId="0" borderId="0" xfId="0" applyFont="1"/>
    <xf numFmtId="0" fontId="30" fillId="0" borderId="0" xfId="0" applyFont="1" applyAlignment="1">
      <alignment horizontal="left"/>
    </xf>
    <xf numFmtId="166" fontId="85" fillId="0" borderId="0" xfId="1" applyNumberFormat="1" applyFont="1" applyFill="1" applyBorder="1" applyAlignment="1">
      <alignment horizontal="right"/>
    </xf>
    <xf numFmtId="166" fontId="85" fillId="0" borderId="0" xfId="0" applyNumberFormat="1" applyFont="1"/>
    <xf numFmtId="0" fontId="109" fillId="0" borderId="0" xfId="0" applyFont="1"/>
    <xf numFmtId="166" fontId="2" fillId="2" borderId="1" xfId="1" applyNumberFormat="1" applyFont="1" applyFill="1" applyBorder="1"/>
    <xf numFmtId="166" fontId="40" fillId="8" borderId="0" xfId="1" applyNumberFormat="1" applyFont="1" applyFill="1" applyBorder="1"/>
    <xf numFmtId="0" fontId="24" fillId="8" borderId="0" xfId="0" applyFont="1" applyFill="1"/>
    <xf numFmtId="0" fontId="23" fillId="0" borderId="0" xfId="0" applyFont="1" applyAlignment="1">
      <alignment horizontal="center"/>
    </xf>
    <xf numFmtId="0" fontId="103" fillId="4" borderId="0" xfId="0" applyFont="1" applyFill="1" applyAlignment="1">
      <alignment horizontal="right"/>
    </xf>
    <xf numFmtId="15" fontId="111" fillId="4" borderId="0" xfId="0" applyNumberFormat="1" applyFont="1" applyFill="1"/>
    <xf numFmtId="15" fontId="30" fillId="8" borderId="1" xfId="0" applyNumberFormat="1" applyFont="1" applyFill="1" applyBorder="1" applyAlignment="1">
      <alignment horizontal="right"/>
    </xf>
    <xf numFmtId="166" fontId="30" fillId="0" borderId="1" xfId="1" applyNumberFormat="1" applyFont="1" applyFill="1" applyBorder="1" applyAlignment="1">
      <alignment horizontal="right"/>
    </xf>
    <xf numFmtId="0" fontId="24" fillId="0" borderId="1" xfId="0" applyFont="1" applyBorder="1"/>
    <xf numFmtId="0" fontId="85" fillId="0" borderId="0" xfId="0" applyFont="1"/>
    <xf numFmtId="0" fontId="85" fillId="0" borderId="1" xfId="0" applyFont="1" applyBorder="1"/>
    <xf numFmtId="0" fontId="2" fillId="3" borderId="0" xfId="0" applyFont="1" applyFill="1"/>
    <xf numFmtId="166" fontId="2" fillId="3" borderId="1" xfId="1" applyNumberFormat="1" applyFont="1" applyFill="1" applyBorder="1"/>
    <xf numFmtId="166" fontId="2" fillId="3" borderId="0" xfId="0" applyNumberFormat="1" applyFont="1" applyFill="1"/>
    <xf numFmtId="166" fontId="30" fillId="3" borderId="0" xfId="1" applyNumberFormat="1" applyFont="1" applyFill="1" applyBorder="1"/>
    <xf numFmtId="0" fontId="30" fillId="0" borderId="0" xfId="0" applyFont="1" applyAlignment="1">
      <alignment horizontal="center"/>
    </xf>
    <xf numFmtId="0" fontId="88" fillId="0" borderId="0" xfId="0" applyFont="1" applyAlignment="1">
      <alignment vertical="center"/>
    </xf>
    <xf numFmtId="0" fontId="108" fillId="39" borderId="0" xfId="0" applyFont="1" applyFill="1"/>
    <xf numFmtId="165" fontId="2" fillId="0" borderId="0" xfId="2" applyNumberFormat="1" applyFont="1" applyFill="1" applyBorder="1"/>
    <xf numFmtId="165" fontId="2" fillId="2" borderId="0" xfId="2" applyNumberFormat="1" applyFont="1" applyFill="1" applyBorder="1"/>
    <xf numFmtId="9" fontId="86" fillId="0" borderId="0" xfId="0" applyNumberFormat="1" applyFont="1"/>
    <xf numFmtId="10" fontId="86" fillId="0" borderId="0" xfId="2" applyNumberFormat="1" applyFont="1" applyFill="1" applyBorder="1"/>
    <xf numFmtId="9" fontId="86" fillId="0" borderId="0" xfId="2" applyFont="1" applyFill="1" applyBorder="1"/>
    <xf numFmtId="9" fontId="86" fillId="0" borderId="0" xfId="2" applyFont="1" applyBorder="1"/>
    <xf numFmtId="10" fontId="86" fillId="0" borderId="0" xfId="0" applyNumberFormat="1" applyFont="1"/>
    <xf numFmtId="167" fontId="85" fillId="0" borderId="0" xfId="0" applyNumberFormat="1" applyFont="1"/>
    <xf numFmtId="9" fontId="86" fillId="0" borderId="1" xfId="0" applyNumberFormat="1" applyFont="1" applyBorder="1"/>
    <xf numFmtId="2" fontId="86" fillId="0" borderId="0" xfId="0" applyNumberFormat="1" applyFont="1"/>
    <xf numFmtId="0" fontId="108" fillId="4" borderId="9" xfId="0" applyFont="1" applyFill="1" applyBorder="1"/>
    <xf numFmtId="0" fontId="108" fillId="4" borderId="1" xfId="0" applyFont="1" applyFill="1" applyBorder="1"/>
    <xf numFmtId="0" fontId="108" fillId="4" borderId="12" xfId="0" applyFont="1" applyFill="1" applyBorder="1"/>
    <xf numFmtId="10" fontId="2" fillId="0" borderId="0" xfId="0" applyNumberFormat="1" applyFont="1"/>
    <xf numFmtId="165" fontId="2" fillId="0" borderId="0" xfId="0" applyNumberFormat="1" applyFont="1"/>
    <xf numFmtId="0" fontId="108" fillId="4" borderId="12" xfId="0" applyFont="1" applyFill="1" applyBorder="1" applyAlignment="1">
      <alignment horizontal="right"/>
    </xf>
    <xf numFmtId="14" fontId="86" fillId="0" borderId="0" xfId="0" applyNumberFormat="1" applyFont="1"/>
    <xf numFmtId="169" fontId="2" fillId="0" borderId="0" xfId="0" applyNumberFormat="1" applyFont="1"/>
    <xf numFmtId="170" fontId="2" fillId="0" borderId="0" xfId="0" applyNumberFormat="1" applyFont="1"/>
    <xf numFmtId="0" fontId="30" fillId="0" borderId="0" xfId="0" applyFont="1" applyAlignment="1">
      <alignment horizontal="left" indent="1"/>
    </xf>
    <xf numFmtId="0" fontId="103" fillId="4" borderId="9" xfId="0" applyFont="1" applyFill="1" applyBorder="1"/>
    <xf numFmtId="2" fontId="2" fillId="16" borderId="0" xfId="0" applyNumberFormat="1" applyFont="1" applyFill="1"/>
    <xf numFmtId="2" fontId="2" fillId="28" borderId="0" xfId="0" applyNumberFormat="1" applyFont="1" applyFill="1"/>
    <xf numFmtId="2" fontId="2" fillId="29" borderId="0" xfId="0" applyNumberFormat="1" applyFont="1" applyFill="1"/>
    <xf numFmtId="179" fontId="123" fillId="29" borderId="0" xfId="0" applyNumberFormat="1" applyFont="1" applyFill="1" applyAlignment="1" applyProtection="1">
      <alignment horizontal="right" vertical="top" wrapText="1" readingOrder="1"/>
      <protection locked="0"/>
    </xf>
    <xf numFmtId="2" fontId="2" fillId="2" borderId="0" xfId="0" applyNumberFormat="1" applyFont="1" applyFill="1"/>
    <xf numFmtId="179" fontId="123" fillId="2" borderId="0" xfId="0" applyNumberFormat="1" applyFont="1" applyFill="1" applyAlignment="1" applyProtection="1">
      <alignment horizontal="right" vertical="top" wrapText="1" readingOrder="1"/>
      <protection locked="0"/>
    </xf>
    <xf numFmtId="2" fontId="86" fillId="16" borderId="0" xfId="0" applyNumberFormat="1" applyFont="1" applyFill="1"/>
    <xf numFmtId="0" fontId="30" fillId="16" borderId="0" xfId="0" applyFont="1" applyFill="1"/>
    <xf numFmtId="0" fontId="30" fillId="28" borderId="0" xfId="0" applyFont="1" applyFill="1"/>
    <xf numFmtId="0" fontId="30" fillId="29" borderId="0" xfId="0" applyFont="1" applyFill="1"/>
    <xf numFmtId="0" fontId="30" fillId="0" borderId="4" xfId="0" applyFont="1" applyBorder="1"/>
    <xf numFmtId="0" fontId="124" fillId="0" borderId="0" xfId="0" applyFont="1" applyAlignment="1">
      <alignment horizontal="right"/>
    </xf>
    <xf numFmtId="0" fontId="122" fillId="0" borderId="0" xfId="0" applyFont="1"/>
    <xf numFmtId="188" fontId="86" fillId="0" borderId="0" xfId="18" applyNumberFormat="1" applyFont="1" applyAlignment="1">
      <alignment horizontal="right"/>
    </xf>
    <xf numFmtId="2" fontId="86" fillId="0" borderId="0" xfId="15" applyNumberFormat="1" applyFont="1" applyAlignment="1">
      <alignment horizontal="right"/>
    </xf>
    <xf numFmtId="2" fontId="86" fillId="2" borderId="0" xfId="15" applyNumberFormat="1" applyFont="1" applyFill="1" applyAlignment="1">
      <alignment horizontal="right"/>
    </xf>
    <xf numFmtId="170" fontId="86" fillId="0" borderId="0" xfId="0" applyNumberFormat="1" applyFont="1"/>
    <xf numFmtId="2" fontId="86" fillId="2" borderId="0" xfId="0" applyNumberFormat="1" applyFont="1" applyFill="1"/>
    <xf numFmtId="43" fontId="86" fillId="2" borderId="0" xfId="1" applyFont="1" applyFill="1" applyAlignment="1">
      <alignment horizontal="left"/>
    </xf>
    <xf numFmtId="170" fontId="86" fillId="0" borderId="0" xfId="15" applyNumberFormat="1" applyFont="1" applyAlignment="1">
      <alignment horizontal="right"/>
    </xf>
    <xf numFmtId="43" fontId="86" fillId="0" borderId="0" xfId="1" applyFont="1" applyAlignment="1">
      <alignment horizontal="left"/>
    </xf>
    <xf numFmtId="188" fontId="86" fillId="0" borderId="0" xfId="15" applyNumberFormat="1" applyFont="1" applyAlignment="1">
      <alignment horizontal="right"/>
    </xf>
    <xf numFmtId="178" fontId="123" fillId="0" borderId="0" xfId="0" applyNumberFormat="1" applyFont="1" applyAlignment="1" applyProtection="1">
      <alignment horizontal="right" vertical="top" wrapText="1" readingOrder="1"/>
      <protection locked="0"/>
    </xf>
    <xf numFmtId="179" fontId="123" fillId="0" borderId="0" xfId="0" applyNumberFormat="1" applyFont="1" applyAlignment="1" applyProtection="1">
      <alignment horizontal="right" vertical="top" wrapText="1" readingOrder="1"/>
      <protection locked="0"/>
    </xf>
    <xf numFmtId="2" fontId="86" fillId="16" borderId="0" xfId="15" applyNumberFormat="1" applyFont="1" applyFill="1" applyAlignment="1">
      <alignment horizontal="right"/>
    </xf>
    <xf numFmtId="179" fontId="123" fillId="16" borderId="0" xfId="0" applyNumberFormat="1" applyFont="1" applyFill="1" applyAlignment="1" applyProtection="1">
      <alignment horizontal="right" vertical="top" wrapText="1" readingOrder="1"/>
      <protection locked="0"/>
    </xf>
    <xf numFmtId="2" fontId="86" fillId="28" borderId="0" xfId="15" applyNumberFormat="1" applyFont="1" applyFill="1" applyAlignment="1">
      <alignment horizontal="right"/>
    </xf>
    <xf numFmtId="179" fontId="123" fillId="28" borderId="0" xfId="0" applyNumberFormat="1" applyFont="1" applyFill="1" applyAlignment="1" applyProtection="1">
      <alignment horizontal="right" vertical="top" wrapText="1" readingOrder="1"/>
      <protection locked="0"/>
    </xf>
    <xf numFmtId="2" fontId="86" fillId="29" borderId="0" xfId="15" applyNumberFormat="1" applyFont="1" applyFill="1" applyAlignment="1">
      <alignment horizontal="right"/>
    </xf>
    <xf numFmtId="178" fontId="123" fillId="0" borderId="0" xfId="13" applyNumberFormat="1" applyFont="1" applyAlignment="1" applyProtection="1">
      <alignment horizontal="right" vertical="top" wrapText="1" readingOrder="1"/>
      <protection locked="0"/>
    </xf>
    <xf numFmtId="179" fontId="123" fillId="0" borderId="0" xfId="13" applyNumberFormat="1" applyFont="1" applyAlignment="1" applyProtection="1">
      <alignment horizontal="right" vertical="top" wrapText="1" readingOrder="1"/>
      <protection locked="0"/>
    </xf>
    <xf numFmtId="179" fontId="123" fillId="2" borderId="0" xfId="13" applyNumberFormat="1" applyFont="1" applyFill="1" applyAlignment="1" applyProtection="1">
      <alignment horizontal="right" vertical="top" wrapText="1" readingOrder="1"/>
      <protection locked="0"/>
    </xf>
    <xf numFmtId="179" fontId="123" fillId="16" borderId="0" xfId="13" applyNumberFormat="1" applyFont="1" applyFill="1" applyAlignment="1" applyProtection="1">
      <alignment horizontal="right" vertical="top" wrapText="1" readingOrder="1"/>
      <protection locked="0"/>
    </xf>
    <xf numFmtId="179" fontId="123" fillId="28" borderId="0" xfId="13" applyNumberFormat="1" applyFont="1" applyFill="1" applyAlignment="1" applyProtection="1">
      <alignment horizontal="right" vertical="top" wrapText="1" readingOrder="1"/>
      <protection locked="0"/>
    </xf>
    <xf numFmtId="4" fontId="86" fillId="0" borderId="0" xfId="0" applyNumberFormat="1" applyFont="1" applyAlignment="1">
      <alignment horizontal="right" vertical="top" wrapText="1"/>
    </xf>
    <xf numFmtId="4" fontId="86" fillId="29" borderId="0" xfId="0" applyNumberFormat="1" applyFont="1" applyFill="1" applyAlignment="1">
      <alignment horizontal="right" vertical="top" wrapText="1"/>
    </xf>
    <xf numFmtId="4" fontId="86" fillId="2" borderId="0" xfId="0" applyNumberFormat="1" applyFont="1" applyFill="1" applyAlignment="1">
      <alignment horizontal="right" vertical="top" wrapText="1"/>
    </xf>
    <xf numFmtId="188" fontId="86" fillId="0" borderId="0" xfId="0" applyNumberFormat="1" applyFont="1" applyAlignment="1">
      <alignment horizontal="right" vertical="top" wrapText="1"/>
    </xf>
    <xf numFmtId="4" fontId="86" fillId="16" borderId="0" xfId="0" applyNumberFormat="1" applyFont="1" applyFill="1" applyAlignment="1">
      <alignment horizontal="right" vertical="top" wrapText="1"/>
    </xf>
    <xf numFmtId="4" fontId="86" fillId="40" borderId="0" xfId="0" applyNumberFormat="1" applyFont="1" applyFill="1" applyAlignment="1">
      <alignment horizontal="right" vertical="top" wrapText="1"/>
    </xf>
    <xf numFmtId="178" fontId="123" fillId="0" borderId="0" xfId="18" applyNumberFormat="1" applyFont="1" applyAlignment="1" applyProtection="1">
      <alignment horizontal="right" vertical="top" wrapText="1" readingOrder="1"/>
      <protection locked="0"/>
    </xf>
    <xf numFmtId="179" fontId="123" fillId="0" borderId="0" xfId="18" applyNumberFormat="1" applyFont="1" applyAlignment="1" applyProtection="1">
      <alignment horizontal="right" vertical="top" wrapText="1" readingOrder="1"/>
      <protection locked="0"/>
    </xf>
    <xf numFmtId="188" fontId="86" fillId="0" borderId="0" xfId="0" applyNumberFormat="1" applyFont="1" applyAlignment="1">
      <alignment horizontal="right"/>
    </xf>
    <xf numFmtId="4" fontId="86" fillId="0" borderId="1" xfId="0" applyNumberFormat="1" applyFont="1" applyBorder="1" applyAlignment="1">
      <alignment horizontal="right" vertical="top" wrapText="1"/>
    </xf>
    <xf numFmtId="170" fontId="2" fillId="0" borderId="1" xfId="0" applyNumberFormat="1" applyFont="1" applyBorder="1"/>
    <xf numFmtId="0" fontId="125" fillId="0" borderId="0" xfId="0" applyFont="1"/>
    <xf numFmtId="0" fontId="88" fillId="24" borderId="17" xfId="0" applyFont="1" applyFill="1" applyBorder="1" applyAlignment="1">
      <alignment horizontal="center" vertical="center"/>
    </xf>
    <xf numFmtId="0" fontId="99" fillId="0" borderId="1" xfId="0" applyFont="1" applyBorder="1"/>
    <xf numFmtId="166" fontId="30" fillId="5" borderId="0" xfId="1" applyNumberFormat="1" applyFont="1" applyFill="1" applyBorder="1"/>
    <xf numFmtId="0" fontId="115" fillId="0" borderId="7" xfId="0" applyFont="1" applyBorder="1"/>
    <xf numFmtId="0" fontId="99" fillId="0" borderId="7" xfId="0" applyFont="1" applyBorder="1"/>
    <xf numFmtId="0" fontId="126" fillId="0" borderId="0" xfId="0" applyFont="1"/>
    <xf numFmtId="166" fontId="78" fillId="0" borderId="0" xfId="2" applyNumberFormat="1" applyFont="1" applyFill="1" applyBorder="1" applyAlignment="1">
      <alignment horizontal="center"/>
    </xf>
    <xf numFmtId="169" fontId="78" fillId="0" borderId="0" xfId="2" applyNumberFormat="1" applyFont="1" applyFill="1" applyBorder="1" applyAlignment="1">
      <alignment horizontal="center"/>
    </xf>
    <xf numFmtId="1" fontId="2" fillId="0" borderId="0" xfId="0" applyNumberFormat="1" applyFont="1"/>
    <xf numFmtId="43" fontId="30" fillId="0" borderId="0" xfId="1" applyFont="1" applyFill="1" applyAlignment="1"/>
    <xf numFmtId="168" fontId="2" fillId="0" borderId="0" xfId="0" applyNumberFormat="1" applyFont="1"/>
    <xf numFmtId="0" fontId="2" fillId="0" borderId="1" xfId="0" applyFont="1" applyBorder="1" applyAlignment="1">
      <alignment horizontal="left" indent="1"/>
    </xf>
    <xf numFmtId="165" fontId="2" fillId="5" borderId="0" xfId="0" applyNumberFormat="1" applyFont="1" applyFill="1"/>
    <xf numFmtId="10" fontId="2" fillId="5" borderId="0" xfId="2" applyNumberFormat="1" applyFont="1" applyFill="1"/>
    <xf numFmtId="10" fontId="2" fillId="0" borderId="0" xfId="2" applyNumberFormat="1" applyFont="1" applyFill="1" applyBorder="1"/>
    <xf numFmtId="165" fontId="2" fillId="0" borderId="0" xfId="2" applyNumberFormat="1" applyFont="1" applyBorder="1"/>
    <xf numFmtId="0" fontId="86" fillId="0" borderId="0" xfId="0" applyFont="1" applyAlignment="1">
      <alignment vertical="center"/>
    </xf>
    <xf numFmtId="164" fontId="2" fillId="0" borderId="1" xfId="0" applyNumberFormat="1" applyFont="1" applyBorder="1"/>
    <xf numFmtId="165" fontId="2" fillId="0" borderId="1" xfId="2" applyNumberFormat="1" applyFont="1" applyFill="1" applyBorder="1"/>
    <xf numFmtId="43" fontId="2" fillId="0" borderId="0" xfId="0" applyNumberFormat="1" applyFont="1"/>
    <xf numFmtId="43" fontId="2" fillId="0" borderId="1" xfId="0" applyNumberFormat="1" applyFont="1" applyBorder="1"/>
    <xf numFmtId="184" fontId="2" fillId="0" borderId="0" xfId="0" applyNumberFormat="1" applyFont="1"/>
    <xf numFmtId="168" fontId="2" fillId="0" borderId="1" xfId="0" applyNumberFormat="1" applyFont="1" applyBorder="1"/>
    <xf numFmtId="165" fontId="30" fillId="5" borderId="0" xfId="0" applyNumberFormat="1" applyFont="1" applyFill="1"/>
    <xf numFmtId="10" fontId="2" fillId="0" borderId="13" xfId="0" applyNumberFormat="1" applyFont="1" applyBorder="1"/>
    <xf numFmtId="0" fontId="2" fillId="0" borderId="13" xfId="0" applyFont="1" applyBorder="1"/>
    <xf numFmtId="164" fontId="2" fillId="0" borderId="13" xfId="0" applyNumberFormat="1" applyFont="1" applyBorder="1"/>
    <xf numFmtId="166" fontId="2" fillId="0" borderId="13" xfId="0" applyNumberFormat="1" applyFont="1" applyBorder="1"/>
    <xf numFmtId="9" fontId="30" fillId="0" borderId="13" xfId="2" applyFont="1" applyFill="1" applyBorder="1"/>
    <xf numFmtId="9" fontId="30" fillId="0" borderId="0" xfId="2" applyFont="1" applyFill="1" applyBorder="1"/>
    <xf numFmtId="166" fontId="41" fillId="0" borderId="0" xfId="0" applyNumberFormat="1" applyFont="1"/>
    <xf numFmtId="0" fontId="109" fillId="6" borderId="1" xfId="0" applyFont="1" applyFill="1" applyBorder="1"/>
    <xf numFmtId="0" fontId="109" fillId="6" borderId="0" xfId="0" applyFont="1" applyFill="1"/>
    <xf numFmtId="165" fontId="2" fillId="0" borderId="1" xfId="0" applyNumberFormat="1" applyFont="1" applyBorder="1"/>
    <xf numFmtId="165" fontId="30" fillId="0" borderId="0" xfId="2" applyNumberFormat="1" applyFont="1" applyFill="1" applyBorder="1"/>
    <xf numFmtId="165" fontId="30" fillId="0" borderId="0" xfId="0" applyNumberFormat="1" applyFont="1"/>
    <xf numFmtId="165" fontId="2" fillId="5" borderId="1" xfId="2" applyNumberFormat="1" applyFont="1" applyFill="1" applyBorder="1"/>
    <xf numFmtId="165" fontId="30" fillId="0" borderId="1" xfId="0" applyNumberFormat="1" applyFont="1" applyBorder="1"/>
    <xf numFmtId="0" fontId="103" fillId="4" borderId="9" xfId="0" applyFont="1" applyFill="1" applyBorder="1" applyAlignment="1">
      <alignment vertical="center"/>
    </xf>
    <xf numFmtId="0" fontId="2" fillId="0" borderId="0" xfId="0" applyFont="1" applyAlignment="1">
      <alignment vertical="top"/>
    </xf>
    <xf numFmtId="0" fontId="128" fillId="0" borderId="0" xfId="0" applyFont="1"/>
    <xf numFmtId="8" fontId="2" fillId="0" borderId="0" xfId="0" applyNumberFormat="1" applyFont="1"/>
    <xf numFmtId="0" fontId="129" fillId="0" borderId="0" xfId="0" applyFont="1" applyAlignment="1">
      <alignment horizontal="left" vertical="center" wrapText="1"/>
    </xf>
    <xf numFmtId="0" fontId="127" fillId="0" borderId="0" xfId="0" applyFont="1" applyAlignment="1">
      <alignment vertical="center" wrapText="1"/>
    </xf>
    <xf numFmtId="0" fontId="127" fillId="0" borderId="0" xfId="0" applyFont="1" applyAlignment="1">
      <alignment vertical="center"/>
    </xf>
    <xf numFmtId="0" fontId="90" fillId="39" borderId="8" xfId="0" applyFont="1" applyFill="1" applyBorder="1" applyAlignment="1">
      <alignment vertical="center"/>
    </xf>
    <xf numFmtId="0" fontId="90" fillId="39" borderId="0" xfId="0" applyFont="1" applyFill="1" applyAlignment="1">
      <alignment vertical="center"/>
    </xf>
    <xf numFmtId="0" fontId="90" fillId="0" borderId="19" xfId="0" applyFont="1" applyBorder="1" applyAlignment="1">
      <alignment vertical="center"/>
    </xf>
    <xf numFmtId="0" fontId="108" fillId="39" borderId="1" xfId="0" applyFont="1" applyFill="1" applyBorder="1"/>
    <xf numFmtId="0" fontId="46" fillId="16" borderId="0" xfId="0" applyFont="1" applyFill="1"/>
    <xf numFmtId="15" fontId="46" fillId="0" borderId="0" xfId="0" applyNumberFormat="1" applyFont="1" applyAlignment="1">
      <alignment horizontal="left"/>
    </xf>
    <xf numFmtId="0" fontId="46" fillId="12" borderId="0" xfId="0" applyFont="1" applyFill="1"/>
    <xf numFmtId="0" fontId="131" fillId="15" borderId="0" xfId="0" applyFont="1" applyFill="1"/>
    <xf numFmtId="0" fontId="46" fillId="0" borderId="0" xfId="0" quotePrefix="1" applyFont="1"/>
    <xf numFmtId="0" fontId="132" fillId="0" borderId="0" xfId="0" applyFont="1"/>
    <xf numFmtId="0" fontId="133" fillId="0" borderId="1" xfId="0" applyFont="1" applyBorder="1"/>
    <xf numFmtId="0" fontId="46" fillId="16" borderId="1" xfId="0" applyFont="1" applyFill="1" applyBorder="1"/>
    <xf numFmtId="0" fontId="134" fillId="16" borderId="0" xfId="0" applyFont="1" applyFill="1"/>
    <xf numFmtId="0" fontId="2" fillId="16" borderId="0" xfId="0" applyFont="1" applyFill="1"/>
    <xf numFmtId="0" fontId="135" fillId="0" borderId="0" xfId="0" applyFont="1"/>
    <xf numFmtId="0" fontId="134" fillId="0" borderId="0" xfId="0" applyFont="1"/>
    <xf numFmtId="0" fontId="30" fillId="0" borderId="12" xfId="0" applyFont="1" applyBorder="1"/>
    <xf numFmtId="0" fontId="2" fillId="0" borderId="9" xfId="0" applyFont="1" applyBorder="1"/>
    <xf numFmtId="166" fontId="2" fillId="5" borderId="1" xfId="1" applyNumberFormat="1" applyFont="1" applyFill="1" applyBorder="1" applyAlignment="1">
      <alignment horizontal="right"/>
    </xf>
    <xf numFmtId="0" fontId="106" fillId="5" borderId="1" xfId="0" applyFont="1" applyFill="1" applyBorder="1"/>
    <xf numFmtId="0" fontId="2" fillId="5" borderId="0" xfId="0" quotePrefix="1" applyFont="1" applyFill="1" applyAlignment="1">
      <alignment horizontal="right"/>
    </xf>
    <xf numFmtId="168" fontId="46" fillId="5" borderId="0" xfId="1" applyNumberFormat="1" applyFont="1" applyFill="1" applyBorder="1" applyAlignment="1">
      <alignment horizontal="right"/>
    </xf>
    <xf numFmtId="168" fontId="46" fillId="5" borderId="0" xfId="1" applyNumberFormat="1" applyFont="1" applyFill="1" applyBorder="1" applyAlignment="1"/>
    <xf numFmtId="0" fontId="46" fillId="5" borderId="0" xfId="0" applyFont="1" applyFill="1"/>
    <xf numFmtId="0" fontId="136" fillId="5" borderId="0" xfId="0" applyFont="1" applyFill="1"/>
    <xf numFmtId="168" fontId="46" fillId="5" borderId="0" xfId="1" applyNumberFormat="1" applyFont="1" applyFill="1" applyBorder="1" applyAlignment="1">
      <alignment horizontal="left"/>
    </xf>
    <xf numFmtId="168" fontId="46" fillId="5" borderId="0" xfId="1" applyNumberFormat="1" applyFont="1" applyFill="1" applyBorder="1"/>
    <xf numFmtId="0" fontId="2" fillId="0" borderId="0" xfId="0" quotePrefix="1" applyFont="1" applyAlignment="1">
      <alignment horizontal="right"/>
    </xf>
    <xf numFmtId="168" fontId="46" fillId="0" borderId="0" xfId="1" applyNumberFormat="1" applyFont="1" applyFill="1" applyBorder="1" applyAlignment="1">
      <alignment horizontal="left"/>
    </xf>
    <xf numFmtId="0" fontId="2" fillId="9" borderId="0" xfId="0" applyFont="1" applyFill="1"/>
    <xf numFmtId="0" fontId="2" fillId="9" borderId="1" xfId="0" applyFont="1" applyFill="1" applyBorder="1" applyAlignment="1">
      <alignment horizontal="center"/>
    </xf>
    <xf numFmtId="0" fontId="30" fillId="9" borderId="1" xfId="0" applyFont="1" applyFill="1" applyBorder="1" applyAlignment="1">
      <alignment horizontal="right"/>
    </xf>
    <xf numFmtId="9" fontId="30" fillId="9" borderId="1" xfId="0" applyNumberFormat="1" applyFont="1" applyFill="1" applyBorder="1" applyAlignment="1">
      <alignment horizontal="right"/>
    </xf>
    <xf numFmtId="0" fontId="46" fillId="18" borderId="0" xfId="0" applyFont="1" applyFill="1"/>
    <xf numFmtId="0" fontId="131" fillId="0" borderId="0" xfId="0" applyFont="1"/>
    <xf numFmtId="0" fontId="2" fillId="24" borderId="0" xfId="0" applyFont="1" applyFill="1"/>
    <xf numFmtId="0" fontId="62" fillId="2" borderId="1" xfId="0" applyFont="1" applyFill="1" applyBorder="1"/>
    <xf numFmtId="0" fontId="62" fillId="0" borderId="0" xfId="0" applyFont="1" applyAlignment="1">
      <alignment horizontal="right"/>
    </xf>
    <xf numFmtId="4" fontId="2" fillId="0" borderId="0" xfId="0" applyNumberFormat="1" applyFont="1"/>
    <xf numFmtId="0" fontId="2" fillId="20" borderId="0" xfId="0" applyFont="1" applyFill="1"/>
    <xf numFmtId="0" fontId="2" fillId="21" borderId="0" xfId="0" applyFont="1" applyFill="1"/>
    <xf numFmtId="0" fontId="2" fillId="22" borderId="0" xfId="0" applyFont="1" applyFill="1"/>
    <xf numFmtId="0" fontId="2" fillId="23" borderId="0" xfId="0" applyFont="1" applyFill="1"/>
    <xf numFmtId="0" fontId="8" fillId="0" borderId="7" xfId="0" applyFont="1" applyBorder="1"/>
    <xf numFmtId="0" fontId="88" fillId="24" borderId="5" xfId="0" applyFont="1" applyFill="1" applyBorder="1" applyAlignment="1">
      <alignment vertical="center"/>
    </xf>
    <xf numFmtId="0" fontId="88" fillId="24" borderId="5" xfId="0" applyFont="1" applyFill="1" applyBorder="1" applyAlignment="1">
      <alignment horizontal="center" vertical="center"/>
    </xf>
    <xf numFmtId="188" fontId="86" fillId="0" borderId="1" xfId="15" applyNumberFormat="1" applyFont="1" applyBorder="1" applyAlignment="1">
      <alignment horizontal="right"/>
    </xf>
    <xf numFmtId="2" fontId="86" fillId="0" borderId="1" xfId="15" applyNumberFormat="1" applyFont="1" applyBorder="1" applyAlignment="1">
      <alignment horizontal="right"/>
    </xf>
    <xf numFmtId="170" fontId="86" fillId="0" borderId="1" xfId="0" applyNumberFormat="1" applyFont="1" applyBorder="1"/>
    <xf numFmtId="188" fontId="86" fillId="0" borderId="1" xfId="18" applyNumberFormat="1" applyFont="1" applyBorder="1" applyAlignment="1">
      <alignment horizontal="right"/>
    </xf>
    <xf numFmtId="178" fontId="123" fillId="0" borderId="1" xfId="0" applyNumberFormat="1" applyFont="1" applyBorder="1" applyAlignment="1" applyProtection="1">
      <alignment horizontal="right" vertical="top" wrapText="1" readingOrder="1"/>
      <protection locked="0"/>
    </xf>
    <xf numFmtId="179" fontId="123" fillId="0" borderId="1" xfId="0" applyNumberFormat="1" applyFont="1" applyBorder="1" applyAlignment="1" applyProtection="1">
      <alignment horizontal="right" vertical="top" wrapText="1" readingOrder="1"/>
      <protection locked="0"/>
    </xf>
    <xf numFmtId="0" fontId="30" fillId="3" borderId="0" xfId="0" applyFont="1" applyFill="1"/>
    <xf numFmtId="166" fontId="2" fillId="3" borderId="2" xfId="1" applyNumberFormat="1" applyFont="1" applyFill="1" applyBorder="1"/>
    <xf numFmtId="4" fontId="1" fillId="0" borderId="0" xfId="0" applyNumberFormat="1" applyFont="1" applyAlignment="1">
      <alignment horizontal="right" vertical="top" wrapText="1"/>
    </xf>
    <xf numFmtId="166" fontId="2" fillId="0" borderId="7" xfId="1" applyNumberFormat="1" applyFont="1" applyBorder="1"/>
    <xf numFmtId="0" fontId="70" fillId="0" borderId="0" xfId="0" applyFont="1" applyAlignment="1">
      <alignment horizontal="left"/>
    </xf>
    <xf numFmtId="0" fontId="70" fillId="0" borderId="0" xfId="0" applyFont="1"/>
    <xf numFmtId="0" fontId="70" fillId="0" borderId="1" xfId="0" applyFont="1" applyBorder="1"/>
    <xf numFmtId="170" fontId="88" fillId="3" borderId="5" xfId="0" applyNumberFormat="1" applyFont="1" applyFill="1" applyBorder="1" applyAlignment="1">
      <alignment horizontal="center" vertical="center"/>
    </xf>
    <xf numFmtId="0" fontId="88" fillId="3" borderId="0" xfId="0" applyFont="1" applyFill="1" applyAlignment="1">
      <alignment vertical="center"/>
    </xf>
    <xf numFmtId="0" fontId="41" fillId="3" borderId="0" xfId="0" applyFont="1" applyFill="1" applyAlignment="1">
      <alignment horizontal="left"/>
    </xf>
    <xf numFmtId="0" fontId="92" fillId="0" borderId="0" xfId="0" applyFont="1"/>
    <xf numFmtId="0" fontId="88" fillId="10" borderId="7" xfId="0" applyFont="1" applyFill="1" applyBorder="1" applyAlignment="1">
      <alignment horizontal="center" vertical="center"/>
    </xf>
    <xf numFmtId="10" fontId="86" fillId="0" borderId="1" xfId="2" applyNumberFormat="1" applyFont="1" applyFill="1" applyBorder="1"/>
    <xf numFmtId="9" fontId="86" fillId="0" borderId="14" xfId="2" applyFont="1" applyBorder="1"/>
    <xf numFmtId="0" fontId="30" fillId="0" borderId="5" xfId="0" applyFont="1" applyBorder="1" applyAlignment="1">
      <alignment horizontal="center"/>
    </xf>
    <xf numFmtId="166" fontId="30" fillId="2" borderId="2" xfId="0" applyNumberFormat="1" applyFont="1" applyFill="1" applyBorder="1"/>
    <xf numFmtId="0" fontId="2" fillId="2" borderId="0" xfId="0" applyFont="1" applyFill="1" applyAlignment="1">
      <alignment horizontal="center"/>
    </xf>
    <xf numFmtId="0" fontId="89" fillId="0" borderId="0" xfId="0" applyFont="1" applyAlignment="1">
      <alignment vertical="center"/>
    </xf>
    <xf numFmtId="0" fontId="89" fillId="0" borderId="0" xfId="0" applyFont="1" applyAlignment="1">
      <alignment horizontal="left" vertical="center"/>
    </xf>
    <xf numFmtId="166" fontId="30" fillId="2" borderId="2" xfId="1" applyNumberFormat="1" applyFont="1" applyFill="1" applyBorder="1"/>
    <xf numFmtId="0" fontId="30" fillId="18" borderId="4" xfId="0" applyFont="1" applyFill="1" applyBorder="1"/>
    <xf numFmtId="10" fontId="86" fillId="5" borderId="0" xfId="0" applyNumberFormat="1" applyFont="1" applyFill="1"/>
    <xf numFmtId="0" fontId="30" fillId="6" borderId="1" xfId="0" applyFont="1" applyFill="1" applyBorder="1"/>
    <xf numFmtId="0" fontId="2" fillId="0" borderId="1" xfId="0" applyFont="1" applyBorder="1" applyAlignment="1">
      <alignment horizontal="center"/>
    </xf>
    <xf numFmtId="180" fontId="137" fillId="0" borderId="0" xfId="0" applyNumberFormat="1" applyFont="1" applyAlignment="1">
      <alignment horizontal="center"/>
    </xf>
    <xf numFmtId="0" fontId="100" fillId="4" borderId="0" xfId="0" applyFont="1" applyFill="1"/>
    <xf numFmtId="0" fontId="89" fillId="0" borderId="7" xfId="0" applyFont="1" applyBorder="1" applyAlignment="1">
      <alignment vertical="center"/>
    </xf>
    <xf numFmtId="0" fontId="139" fillId="4" borderId="0" xfId="0" applyFont="1" applyFill="1"/>
    <xf numFmtId="0" fontId="116" fillId="0" borderId="0" xfId="0" applyFont="1"/>
    <xf numFmtId="0" fontId="0" fillId="0" borderId="18" xfId="0" applyBorder="1"/>
    <xf numFmtId="166" fontId="30" fillId="0" borderId="1" xfId="0" applyNumberFormat="1" applyFont="1" applyBorder="1"/>
    <xf numFmtId="166" fontId="85" fillId="0" borderId="0" xfId="1" applyNumberFormat="1" applyFont="1" applyFill="1" applyBorder="1"/>
    <xf numFmtId="166" fontId="30" fillId="0" borderId="0" xfId="1" applyNumberFormat="1" applyFont="1" applyBorder="1"/>
    <xf numFmtId="0" fontId="100" fillId="0" borderId="0" xfId="0" applyFont="1"/>
    <xf numFmtId="0" fontId="17" fillId="0" borderId="0" xfId="0" applyFont="1" applyAlignment="1">
      <alignment horizontal="left"/>
    </xf>
    <xf numFmtId="180" fontId="137" fillId="0" borderId="7" xfId="0" applyNumberFormat="1" applyFont="1" applyBorder="1" applyAlignment="1">
      <alignment horizontal="center"/>
    </xf>
    <xf numFmtId="18" fontId="8" fillId="0" borderId="7" xfId="0" applyNumberFormat="1" applyFont="1" applyBorder="1"/>
    <xf numFmtId="0" fontId="17" fillId="4" borderId="7" xfId="0" applyFont="1" applyFill="1" applyBorder="1"/>
    <xf numFmtId="0" fontId="70" fillId="4" borderId="7" xfId="0" applyFont="1" applyFill="1" applyBorder="1"/>
    <xf numFmtId="166" fontId="30" fillId="0" borderId="7" xfId="1" applyNumberFormat="1" applyFont="1" applyFill="1" applyBorder="1"/>
    <xf numFmtId="0" fontId="8" fillId="4" borderId="7" xfId="0" applyFont="1" applyFill="1" applyBorder="1"/>
    <xf numFmtId="0" fontId="70" fillId="4" borderId="4" xfId="0" applyFont="1" applyFill="1" applyBorder="1"/>
    <xf numFmtId="0" fontId="88" fillId="0" borderId="0" xfId="0" applyFont="1" applyAlignment="1">
      <alignment horizontal="center"/>
    </xf>
    <xf numFmtId="170" fontId="102" fillId="2" borderId="6" xfId="0" applyNumberFormat="1" applyFont="1" applyFill="1" applyBorder="1"/>
    <xf numFmtId="0" fontId="120" fillId="0" borderId="0" xfId="0" applyFont="1"/>
    <xf numFmtId="0" fontId="30" fillId="6" borderId="0" xfId="0" applyFont="1" applyFill="1"/>
    <xf numFmtId="0" fontId="2" fillId="6" borderId="1" xfId="0" applyFont="1" applyFill="1" applyBorder="1"/>
    <xf numFmtId="22" fontId="86" fillId="0" borderId="0" xfId="0" applyNumberFormat="1" applyFont="1"/>
    <xf numFmtId="0" fontId="113" fillId="0" borderId="1" xfId="0" applyFont="1" applyBorder="1"/>
    <xf numFmtId="180" fontId="105" fillId="0" borderId="0" xfId="0" applyNumberFormat="1" applyFont="1"/>
    <xf numFmtId="0" fontId="5" fillId="0" borderId="20" xfId="0" applyFont="1" applyBorder="1"/>
    <xf numFmtId="166" fontId="5" fillId="0" borderId="1" xfId="1" applyNumberFormat="1" applyFont="1" applyFill="1" applyBorder="1"/>
    <xf numFmtId="170" fontId="102" fillId="0" borderId="0" xfId="0" applyNumberFormat="1" applyFont="1" applyAlignment="1">
      <alignment horizontal="right"/>
    </xf>
    <xf numFmtId="166" fontId="2" fillId="0" borderId="18" xfId="1" applyNumberFormat="1" applyFont="1" applyFill="1" applyBorder="1"/>
    <xf numFmtId="0" fontId="36" fillId="4" borderId="1" xfId="0" applyFont="1" applyFill="1" applyBorder="1"/>
    <xf numFmtId="166" fontId="2" fillId="36" borderId="0" xfId="1" applyNumberFormat="1" applyFont="1" applyFill="1" applyBorder="1"/>
    <xf numFmtId="166" fontId="2" fillId="36" borderId="2" xfId="1" applyNumberFormat="1" applyFont="1" applyFill="1" applyBorder="1"/>
    <xf numFmtId="0" fontId="101" fillId="0" borderId="0" xfId="0" applyFont="1" applyAlignment="1">
      <alignment horizontal="center"/>
    </xf>
    <xf numFmtId="0" fontId="88" fillId="0" borderId="0" xfId="0" applyFont="1" applyAlignment="1">
      <alignment horizontal="center" vertical="center"/>
    </xf>
    <xf numFmtId="0" fontId="89" fillId="39" borderId="0" xfId="0" applyFont="1" applyFill="1" applyAlignment="1">
      <alignment horizontal="left" vertical="center"/>
    </xf>
    <xf numFmtId="0" fontId="89" fillId="39" borderId="7" xfId="0" applyFont="1" applyFill="1" applyBorder="1" applyAlignment="1">
      <alignment horizontal="left" vertical="center"/>
    </xf>
    <xf numFmtId="0" fontId="27" fillId="4" borderId="0" xfId="0" applyFont="1" applyFill="1" applyAlignment="1">
      <alignment horizontal="left"/>
    </xf>
    <xf numFmtId="43" fontId="85" fillId="0" borderId="0" xfId="1" applyFont="1" applyFill="1" applyAlignment="1">
      <alignment horizontal="right"/>
    </xf>
    <xf numFmtId="0" fontId="0" fillId="0" borderId="21" xfId="0" applyBorder="1"/>
    <xf numFmtId="0" fontId="41" fillId="0" borderId="21" xfId="0" applyFont="1" applyBorder="1" applyAlignment="1">
      <alignment horizontal="right"/>
    </xf>
    <xf numFmtId="166" fontId="30" fillId="0" borderId="21" xfId="1" applyNumberFormat="1" applyFont="1" applyFill="1" applyBorder="1"/>
    <xf numFmtId="0" fontId="2" fillId="0" borderId="21" xfId="0" applyFont="1" applyBorder="1"/>
    <xf numFmtId="0" fontId="5" fillId="0" borderId="21" xfId="0" applyFont="1" applyBorder="1"/>
    <xf numFmtId="166" fontId="141" fillId="0" borderId="0" xfId="1" applyNumberFormat="1" applyFont="1" applyFill="1" applyBorder="1" applyAlignment="1"/>
    <xf numFmtId="166" fontId="5" fillId="0" borderId="0" xfId="1" applyNumberFormat="1" applyFont="1" applyFill="1" applyBorder="1" applyAlignment="1">
      <alignment horizontal="right"/>
    </xf>
    <xf numFmtId="166" fontId="2" fillId="0" borderId="0" xfId="1" applyNumberFormat="1" applyFont="1" applyFill="1"/>
    <xf numFmtId="0" fontId="2" fillId="0" borderId="13" xfId="0" applyFont="1" applyBorder="1" applyAlignment="1">
      <alignment horizontal="center"/>
    </xf>
    <xf numFmtId="0" fontId="2" fillId="3" borderId="0" xfId="0" applyFont="1" applyFill="1" applyAlignment="1">
      <alignment horizontal="center"/>
    </xf>
    <xf numFmtId="0" fontId="142" fillId="0" borderId="0" xfId="0" applyFont="1"/>
    <xf numFmtId="0" fontId="138" fillId="10" borderId="0" xfId="0" applyFont="1" applyFill="1" applyAlignment="1">
      <alignment horizontal="right"/>
    </xf>
    <xf numFmtId="170" fontId="102" fillId="2" borderId="0" xfId="0" applyNumberFormat="1" applyFont="1" applyFill="1" applyAlignment="1">
      <alignment horizontal="right"/>
    </xf>
    <xf numFmtId="0" fontId="87" fillId="4" borderId="0" xfId="0" applyFont="1" applyFill="1"/>
    <xf numFmtId="0" fontId="102" fillId="0" borderId="0" xfId="0" applyFont="1" applyAlignment="1">
      <alignment vertical="center"/>
    </xf>
    <xf numFmtId="0" fontId="102" fillId="0" borderId="1" xfId="0" applyFont="1" applyBorder="1" applyAlignment="1">
      <alignment vertical="center"/>
    </xf>
    <xf numFmtId="0" fontId="10" fillId="0" borderId="1" xfId="0" applyFont="1" applyBorder="1"/>
    <xf numFmtId="0" fontId="11" fillId="0" borderId="0" xfId="0" applyFont="1" applyAlignment="1">
      <alignment horizontal="left" indent="1"/>
    </xf>
    <xf numFmtId="170" fontId="12" fillId="0" borderId="0" xfId="0" applyNumberFormat="1" applyFont="1" applyAlignment="1">
      <alignment horizontal="right"/>
    </xf>
    <xf numFmtId="0" fontId="12" fillId="0" borderId="0" xfId="0" applyFont="1" applyAlignment="1">
      <alignment horizontal="left" indent="1"/>
    </xf>
    <xf numFmtId="0" fontId="11" fillId="0" borderId="0" xfId="0" applyFont="1" applyAlignment="1">
      <alignment horizontal="left" indent="2"/>
    </xf>
    <xf numFmtId="15" fontId="39" fillId="0" borderId="0" xfId="0" applyNumberFormat="1" applyFont="1" applyAlignment="1">
      <alignment horizontal="left"/>
    </xf>
    <xf numFmtId="0" fontId="88" fillId="0" borderId="6" xfId="0" applyFont="1" applyBorder="1"/>
    <xf numFmtId="0" fontId="88" fillId="0" borderId="3" xfId="0" applyFont="1" applyBorder="1"/>
    <xf numFmtId="166" fontId="30" fillId="2" borderId="5" xfId="0" applyNumberFormat="1" applyFont="1" applyFill="1" applyBorder="1"/>
    <xf numFmtId="166" fontId="30" fillId="2" borderId="6" xfId="0" applyNumberFormat="1" applyFont="1" applyFill="1" applyBorder="1"/>
    <xf numFmtId="166" fontId="30" fillId="2" borderId="3" xfId="0" applyNumberFormat="1" applyFont="1" applyFill="1" applyBorder="1"/>
    <xf numFmtId="166" fontId="30" fillId="2" borderId="0" xfId="0" applyNumberFormat="1" applyFont="1" applyFill="1"/>
    <xf numFmtId="0" fontId="2" fillId="4" borderId="0" xfId="0" applyFont="1" applyFill="1" applyAlignment="1">
      <alignment horizontal="center"/>
    </xf>
    <xf numFmtId="9" fontId="8" fillId="0" borderId="0" xfId="2" applyFont="1" applyFill="1" applyBorder="1"/>
    <xf numFmtId="0" fontId="39" fillId="0" borderId="0" xfId="0" applyFont="1" applyAlignment="1">
      <alignment vertical="center"/>
    </xf>
    <xf numFmtId="9" fontId="85" fillId="0" borderId="0" xfId="2" applyFont="1" applyFill="1" applyBorder="1"/>
    <xf numFmtId="4" fontId="86" fillId="43" borderId="0" xfId="0" applyNumberFormat="1" applyFont="1" applyFill="1" applyAlignment="1">
      <alignment horizontal="right" vertical="top" wrapText="1"/>
    </xf>
    <xf numFmtId="4" fontId="86" fillId="2" borderId="1" xfId="0" applyNumberFormat="1" applyFont="1" applyFill="1" applyBorder="1" applyAlignment="1">
      <alignment horizontal="right" vertical="top" wrapText="1"/>
    </xf>
    <xf numFmtId="0" fontId="24" fillId="0" borderId="0" xfId="0" applyFont="1" applyAlignment="1">
      <alignment horizontal="right"/>
    </xf>
    <xf numFmtId="9" fontId="85" fillId="0" borderId="1" xfId="2" applyFont="1" applyFill="1" applyBorder="1"/>
    <xf numFmtId="9" fontId="121" fillId="0" borderId="0" xfId="2" applyFont="1" applyFill="1" applyBorder="1" applyAlignment="1">
      <alignment horizontal="right"/>
    </xf>
    <xf numFmtId="9" fontId="86" fillId="0" borderId="0" xfId="2" applyFont="1" applyFill="1" applyBorder="1" applyAlignment="1">
      <alignment horizontal="left"/>
    </xf>
    <xf numFmtId="9" fontId="86" fillId="0" borderId="0" xfId="2" applyFont="1" applyFill="1" applyBorder="1" applyAlignment="1">
      <alignment horizontal="right"/>
    </xf>
    <xf numFmtId="166" fontId="86" fillId="0" borderId="0" xfId="0" applyNumberFormat="1" applyFont="1" applyAlignment="1">
      <alignment horizontal="right"/>
    </xf>
    <xf numFmtId="0" fontId="144" fillId="0" borderId="7" xfId="0" applyFont="1" applyBorder="1"/>
    <xf numFmtId="166" fontId="85" fillId="0" borderId="1" xfId="0" applyNumberFormat="1" applyFont="1" applyBorder="1"/>
    <xf numFmtId="9" fontId="85" fillId="5" borderId="0" xfId="2" applyFont="1" applyFill="1" applyBorder="1"/>
    <xf numFmtId="0" fontId="86" fillId="0" borderId="0" xfId="0" applyFont="1" applyAlignment="1">
      <alignment horizontal="right"/>
    </xf>
    <xf numFmtId="0" fontId="102" fillId="0" borderId="0" xfId="0" applyFont="1"/>
    <xf numFmtId="0" fontId="12" fillId="0" borderId="1" xfId="0" applyFont="1" applyBorder="1"/>
    <xf numFmtId="166" fontId="146" fillId="0" borderId="0" xfId="1" applyNumberFormat="1" applyFont="1" applyFill="1" applyBorder="1"/>
    <xf numFmtId="166" fontId="2" fillId="6" borderId="0" xfId="0" applyNumberFormat="1" applyFont="1" applyFill="1"/>
    <xf numFmtId="166" fontId="24" fillId="0" borderId="0" xfId="0" applyNumberFormat="1" applyFont="1"/>
    <xf numFmtId="166" fontId="39" fillId="0" borderId="1" xfId="0" applyNumberFormat="1" applyFont="1" applyBorder="1"/>
    <xf numFmtId="166" fontId="8" fillId="0" borderId="1" xfId="0" applyNumberFormat="1" applyFont="1" applyBorder="1"/>
    <xf numFmtId="0" fontId="138" fillId="0" borderId="0" xfId="0" applyFont="1" applyAlignment="1">
      <alignment horizontal="center"/>
    </xf>
    <xf numFmtId="0" fontId="88" fillId="0" borderId="1" xfId="0" applyFont="1" applyBorder="1" applyAlignment="1">
      <alignment vertical="center"/>
    </xf>
    <xf numFmtId="0" fontId="103" fillId="0" borderId="1" xfId="0" applyFont="1" applyBorder="1"/>
    <xf numFmtId="0" fontId="24" fillId="0" borderId="0" xfId="0" applyFont="1" applyAlignment="1">
      <alignment horizontal="center"/>
    </xf>
    <xf numFmtId="0" fontId="99" fillId="0" borderId="18" xfId="0" applyFont="1" applyBorder="1"/>
    <xf numFmtId="0" fontId="143" fillId="0" borderId="0" xfId="0" applyFont="1" applyAlignment="1">
      <alignment vertical="center"/>
    </xf>
    <xf numFmtId="0" fontId="5" fillId="3" borderId="0" xfId="0" applyFont="1" applyFill="1"/>
    <xf numFmtId="166" fontId="24" fillId="0" borderId="1" xfId="0" applyNumberFormat="1" applyFont="1" applyBorder="1" applyAlignment="1">
      <alignment horizontal="center"/>
    </xf>
    <xf numFmtId="166" fontId="24" fillId="0" borderId="1" xfId="0" applyNumberFormat="1" applyFont="1" applyBorder="1"/>
    <xf numFmtId="0" fontId="8" fillId="0" borderId="0" xfId="0" applyFont="1" applyAlignment="1">
      <alignment horizontal="center"/>
    </xf>
    <xf numFmtId="166" fontId="8" fillId="0" borderId="0" xfId="0" applyNumberFormat="1" applyFont="1" applyAlignment="1">
      <alignment horizontal="right"/>
    </xf>
    <xf numFmtId="0" fontId="138" fillId="0" borderId="0" xfId="0" applyFont="1"/>
    <xf numFmtId="170" fontId="102" fillId="0" borderId="0" xfId="0" applyNumberFormat="1" applyFont="1"/>
    <xf numFmtId="0" fontId="12" fillId="0" borderId="0" xfId="0" applyFont="1" applyAlignment="1">
      <alignment horizontal="center"/>
    </xf>
    <xf numFmtId="170" fontId="102" fillId="2" borderId="5" xfId="0" applyNumberFormat="1" applyFont="1" applyFill="1" applyBorder="1"/>
    <xf numFmtId="170" fontId="102" fillId="2" borderId="5" xfId="0" applyNumberFormat="1" applyFont="1" applyFill="1" applyBorder="1" applyAlignment="1">
      <alignment horizontal="right"/>
    </xf>
    <xf numFmtId="0" fontId="99" fillId="0" borderId="0" xfId="0" applyFont="1" applyAlignment="1">
      <alignment horizontal="center"/>
    </xf>
    <xf numFmtId="0" fontId="10" fillId="0" borderId="0" xfId="0" applyFont="1" applyAlignment="1">
      <alignment vertical="center"/>
    </xf>
    <xf numFmtId="0" fontId="11" fillId="0" borderId="0" xfId="0" applyFont="1" applyAlignment="1">
      <alignment vertical="center"/>
    </xf>
    <xf numFmtId="0" fontId="10" fillId="0" borderId="1" xfId="0" applyFont="1" applyBorder="1" applyAlignment="1">
      <alignment vertical="center"/>
    </xf>
    <xf numFmtId="0" fontId="11" fillId="0" borderId="1" xfId="0" applyFont="1" applyBorder="1" applyAlignment="1">
      <alignment vertical="center"/>
    </xf>
    <xf numFmtId="166" fontId="11" fillId="0" borderId="0" xfId="0" applyNumberFormat="1" applyFont="1"/>
    <xf numFmtId="0" fontId="149" fillId="0" borderId="0" xfId="0" applyFont="1"/>
    <xf numFmtId="0" fontId="22" fillId="0" borderId="0" xfId="0" applyFont="1" applyAlignment="1">
      <alignment horizontal="left"/>
    </xf>
    <xf numFmtId="0" fontId="138" fillId="0" borderId="7" xfId="0" applyFont="1" applyBorder="1"/>
    <xf numFmtId="180" fontId="150" fillId="0" borderId="0" xfId="0" applyNumberFormat="1" applyFont="1" applyAlignment="1">
      <alignment horizontal="center"/>
    </xf>
    <xf numFmtId="0" fontId="12" fillId="0" borderId="0" xfId="0" applyFont="1" applyAlignment="1">
      <alignment horizontal="right"/>
    </xf>
    <xf numFmtId="18" fontId="12" fillId="0" borderId="0" xfId="0" applyNumberFormat="1" applyFont="1"/>
    <xf numFmtId="0" fontId="37" fillId="10" borderId="11" xfId="0" applyFont="1" applyFill="1" applyBorder="1"/>
    <xf numFmtId="170" fontId="12" fillId="0" borderId="0" xfId="0" applyNumberFormat="1" applyFont="1" applyAlignment="1">
      <alignment horizontal="center"/>
    </xf>
    <xf numFmtId="170" fontId="11" fillId="0" borderId="0" xfId="0" applyNumberFormat="1" applyFont="1" applyAlignment="1">
      <alignment horizontal="center"/>
    </xf>
    <xf numFmtId="2" fontId="11" fillId="0" borderId="0" xfId="0" applyNumberFormat="1" applyFont="1" applyAlignment="1">
      <alignment horizontal="center"/>
    </xf>
    <xf numFmtId="2" fontId="102" fillId="2" borderId="5" xfId="0" applyNumberFormat="1" applyFont="1" applyFill="1" applyBorder="1" applyAlignment="1">
      <alignment horizontal="right"/>
    </xf>
    <xf numFmtId="0" fontId="13" fillId="0" borderId="0" xfId="0" applyFont="1" applyAlignment="1">
      <alignment horizontal="center"/>
    </xf>
    <xf numFmtId="166" fontId="30" fillId="0" borderId="0" xfId="1" applyNumberFormat="1" applyFont="1" applyFill="1" applyBorder="1" applyAlignment="1"/>
    <xf numFmtId="166" fontId="2" fillId="0" borderId="21" xfId="1" applyNumberFormat="1" applyFont="1" applyFill="1" applyBorder="1"/>
    <xf numFmtId="166" fontId="86" fillId="41" borderId="0" xfId="1" applyNumberFormat="1" applyFont="1" applyFill="1" applyBorder="1"/>
    <xf numFmtId="166" fontId="86" fillId="41" borderId="1" xfId="1" applyNumberFormat="1" applyFont="1" applyFill="1" applyBorder="1"/>
    <xf numFmtId="0" fontId="30" fillId="0" borderId="0" xfId="0" applyFont="1" applyBorder="1"/>
    <xf numFmtId="0" fontId="2" fillId="0" borderId="0" xfId="0" applyFont="1" applyBorder="1"/>
    <xf numFmtId="166" fontId="86" fillId="0" borderId="0" xfId="0" applyNumberFormat="1" applyFont="1" applyBorder="1"/>
    <xf numFmtId="0" fontId="0" fillId="0" borderId="0" xfId="0" applyBorder="1"/>
    <xf numFmtId="0" fontId="2" fillId="0" borderId="0" xfId="0" applyFont="1" applyFill="1"/>
    <xf numFmtId="166" fontId="85" fillId="0" borderId="0" xfId="0" applyNumberFormat="1" applyFont="1" applyFill="1"/>
    <xf numFmtId="166" fontId="86" fillId="0" borderId="0" xfId="0" applyNumberFormat="1" applyFont="1" applyFill="1"/>
    <xf numFmtId="0" fontId="108" fillId="0" borderId="0" xfId="0" applyFont="1" applyFill="1"/>
    <xf numFmtId="166" fontId="30" fillId="0" borderId="0" xfId="0" applyNumberFormat="1" applyFont="1" applyFill="1"/>
    <xf numFmtId="166" fontId="2" fillId="0" borderId="0" xfId="0" applyNumberFormat="1" applyFont="1" applyFill="1"/>
    <xf numFmtId="0" fontId="85" fillId="0" borderId="7" xfId="0" applyFont="1" applyBorder="1" applyAlignment="1"/>
    <xf numFmtId="166" fontId="2" fillId="5" borderId="2" xfId="1" applyNumberFormat="1" applyFont="1" applyFill="1" applyBorder="1"/>
    <xf numFmtId="0" fontId="2" fillId="5" borderId="1" xfId="0" applyFont="1" applyFill="1" applyBorder="1"/>
    <xf numFmtId="0" fontId="30" fillId="0" borderId="0" xfId="0" applyFont="1" applyFill="1"/>
    <xf numFmtId="0" fontId="0" fillId="0" borderId="0" xfId="0" applyFill="1"/>
    <xf numFmtId="0" fontId="99" fillId="0" borderId="0" xfId="0" applyFont="1" applyFill="1"/>
    <xf numFmtId="0" fontId="2" fillId="0" borderId="1" xfId="0" applyFont="1" applyFill="1" applyBorder="1"/>
    <xf numFmtId="166" fontId="86" fillId="0" borderId="1" xfId="0" applyNumberFormat="1" applyFont="1" applyFill="1" applyBorder="1"/>
    <xf numFmtId="170" fontId="102" fillId="0" borderId="0" xfId="0" applyNumberFormat="1" applyFont="1" applyFill="1" applyBorder="1"/>
    <xf numFmtId="0" fontId="2" fillId="0" borderId="0" xfId="0" applyFont="1" applyFill="1" applyBorder="1"/>
    <xf numFmtId="0" fontId="100" fillId="0" borderId="0" xfId="0" applyFont="1" applyFill="1"/>
    <xf numFmtId="166" fontId="85" fillId="41" borderId="0" xfId="1" applyNumberFormat="1" applyFont="1" applyFill="1" applyBorder="1"/>
    <xf numFmtId="166" fontId="85" fillId="41" borderId="1" xfId="1" applyNumberFormat="1" applyFont="1" applyFill="1" applyBorder="1"/>
    <xf numFmtId="166" fontId="30" fillId="5" borderId="2" xfId="1" applyNumberFormat="1" applyFont="1" applyFill="1" applyBorder="1"/>
    <xf numFmtId="0" fontId="8" fillId="0" borderId="0" xfId="0" applyFont="1" applyFill="1"/>
    <xf numFmtId="0" fontId="41" fillId="0" borderId="0" xfId="0" applyFont="1" applyFill="1"/>
    <xf numFmtId="166" fontId="30" fillId="0" borderId="0" xfId="1" applyNumberFormat="1" applyFont="1" applyFill="1"/>
    <xf numFmtId="0" fontId="30" fillId="0" borderId="1" xfId="0" applyFont="1" applyFill="1" applyBorder="1"/>
    <xf numFmtId="0" fontId="41" fillId="0" borderId="1" xfId="0" applyFont="1" applyFill="1" applyBorder="1" applyAlignment="1">
      <alignment horizontal="right"/>
    </xf>
    <xf numFmtId="0" fontId="41" fillId="0" borderId="0" xfId="0" applyFont="1" applyFill="1" applyAlignment="1">
      <alignment horizontal="right"/>
    </xf>
    <xf numFmtId="166" fontId="106" fillId="0" borderId="0" xfId="0" applyNumberFormat="1" applyFont="1"/>
    <xf numFmtId="0" fontId="88" fillId="0" borderId="0" xfId="0" applyFont="1" applyBorder="1"/>
    <xf numFmtId="166" fontId="30" fillId="3" borderId="2" xfId="1" applyNumberFormat="1" applyFont="1" applyFill="1" applyBorder="1"/>
    <xf numFmtId="0" fontId="108" fillId="0" borderId="0" xfId="0" applyFont="1" applyFill="1" applyBorder="1"/>
    <xf numFmtId="0" fontId="2" fillId="0" borderId="0" xfId="0" applyFont="1" applyAlignment="1"/>
    <xf numFmtId="166" fontId="0" fillId="0" borderId="0" xfId="0" applyNumberFormat="1" applyFill="1"/>
    <xf numFmtId="166" fontId="0" fillId="0" borderId="0" xfId="0" applyNumberFormat="1" applyBorder="1"/>
    <xf numFmtId="2" fontId="2" fillId="0" borderId="0" xfId="0" applyNumberFormat="1" applyFont="1" applyFill="1"/>
    <xf numFmtId="166" fontId="30" fillId="2" borderId="0" xfId="0" applyNumberFormat="1" applyFont="1" applyFill="1" applyBorder="1"/>
    <xf numFmtId="0" fontId="151" fillId="0" borderId="0" xfId="0" applyFont="1" applyFill="1"/>
    <xf numFmtId="166" fontId="30" fillId="0" borderId="1" xfId="0" applyNumberFormat="1" applyFont="1" applyFill="1" applyBorder="1"/>
    <xf numFmtId="166" fontId="30" fillId="0" borderId="0" xfId="0" applyNumberFormat="1" applyFont="1" applyFill="1" applyBorder="1"/>
    <xf numFmtId="166" fontId="2" fillId="0" borderId="0" xfId="0" applyNumberFormat="1" applyFont="1" applyFill="1" applyBorder="1"/>
    <xf numFmtId="9" fontId="30" fillId="0" borderId="0" xfId="2" applyFont="1" applyFill="1"/>
    <xf numFmtId="166" fontId="2" fillId="0" borderId="0" xfId="0" applyNumberFormat="1" applyFont="1" applyFill="1" applyAlignment="1">
      <alignment horizontal="right"/>
    </xf>
    <xf numFmtId="0" fontId="151" fillId="0" borderId="1" xfId="0" applyFont="1" applyFill="1" applyBorder="1"/>
    <xf numFmtId="166" fontId="2" fillId="0" borderId="1" xfId="0" applyNumberFormat="1" applyFont="1" applyFill="1" applyBorder="1"/>
    <xf numFmtId="9" fontId="30" fillId="0" borderId="1" xfId="2" applyFont="1" applyFill="1" applyBorder="1"/>
    <xf numFmtId="0" fontId="151" fillId="0" borderId="0" xfId="0" applyFont="1" applyFill="1" applyBorder="1"/>
    <xf numFmtId="0" fontId="5" fillId="0" borderId="0" xfId="0" applyFont="1" applyFill="1"/>
    <xf numFmtId="0" fontId="41" fillId="0" borderId="0" xfId="0" applyFont="1" applyBorder="1" applyAlignment="1">
      <alignment horizontal="right"/>
    </xf>
    <xf numFmtId="0" fontId="0" fillId="0" borderId="0" xfId="0" applyFill="1" applyBorder="1"/>
    <xf numFmtId="0" fontId="0" fillId="0" borderId="1" xfId="0" applyFill="1" applyBorder="1"/>
    <xf numFmtId="166" fontId="2" fillId="0" borderId="0" xfId="1" applyNumberFormat="1" applyFont="1" applyFill="1" applyBorder="1" applyAlignment="1">
      <alignment horizontal="left"/>
    </xf>
    <xf numFmtId="0" fontId="30" fillId="0" borderId="0" xfId="0" applyFont="1" applyFill="1" applyBorder="1"/>
    <xf numFmtId="166" fontId="86" fillId="0" borderId="0" xfId="0" applyNumberFormat="1" applyFont="1" applyFill="1" applyBorder="1"/>
    <xf numFmtId="0" fontId="106" fillId="0" borderId="0" xfId="0" applyFont="1" applyFill="1" applyBorder="1"/>
    <xf numFmtId="0" fontId="41" fillId="0" borderId="0" xfId="0" applyFont="1" applyFill="1" applyBorder="1"/>
    <xf numFmtId="166" fontId="85" fillId="0" borderId="1" xfId="1" applyNumberFormat="1" applyFont="1" applyFill="1" applyBorder="1"/>
    <xf numFmtId="166" fontId="121" fillId="0" borderId="0" xfId="1" applyNumberFormat="1" applyFont="1" applyFill="1" applyBorder="1"/>
    <xf numFmtId="0" fontId="102" fillId="6" borderId="0" xfId="0" applyFont="1" applyFill="1" applyBorder="1" applyAlignment="1">
      <alignment vertical="center"/>
    </xf>
    <xf numFmtId="0" fontId="89" fillId="6" borderId="0" xfId="0" applyFont="1" applyFill="1" applyBorder="1" applyAlignment="1">
      <alignment vertical="center"/>
    </xf>
    <xf numFmtId="16" fontId="2" fillId="0" borderId="0" xfId="0" applyNumberFormat="1" applyFont="1"/>
    <xf numFmtId="0" fontId="37" fillId="2" borderId="0" xfId="0" applyFont="1" applyFill="1"/>
    <xf numFmtId="0" fontId="138" fillId="0" borderId="0" xfId="0" applyFont="1" applyFill="1" applyBorder="1" applyAlignment="1"/>
    <xf numFmtId="180" fontId="105" fillId="0" borderId="7" xfId="0" applyNumberFormat="1" applyFont="1" applyBorder="1" applyAlignment="1">
      <alignment horizontal="center"/>
    </xf>
    <xf numFmtId="0" fontId="11" fillId="0" borderId="0" xfId="0" applyFont="1" applyAlignment="1">
      <alignment horizontal="center"/>
    </xf>
    <xf numFmtId="164" fontId="2" fillId="0" borderId="0" xfId="0" applyNumberFormat="1" applyFont="1" applyFill="1" applyAlignment="1">
      <alignment horizontal="right"/>
    </xf>
    <xf numFmtId="0" fontId="147" fillId="10" borderId="0" xfId="0" applyFont="1" applyFill="1" applyAlignment="1">
      <alignment horizontal="right"/>
    </xf>
    <xf numFmtId="0" fontId="88" fillId="0" borderId="0" xfId="0" applyFont="1" applyBorder="1" applyAlignment="1"/>
    <xf numFmtId="0" fontId="1" fillId="0" borderId="18" xfId="0" applyFont="1" applyBorder="1"/>
    <xf numFmtId="0" fontId="12" fillId="0" borderId="0" xfId="0" applyFont="1" applyBorder="1"/>
    <xf numFmtId="0" fontId="151" fillId="6" borderId="0" xfId="0" applyFont="1" applyFill="1"/>
    <xf numFmtId="0" fontId="102" fillId="0" borderId="0" xfId="0" applyFont="1" applyFill="1" applyBorder="1" applyAlignment="1">
      <alignment vertical="center"/>
    </xf>
    <xf numFmtId="0" fontId="5" fillId="0" borderId="0" xfId="0" applyFont="1" applyBorder="1"/>
    <xf numFmtId="22" fontId="39" fillId="0" borderId="0" xfId="0" applyNumberFormat="1" applyFont="1" applyFill="1" applyBorder="1"/>
    <xf numFmtId="0" fontId="17" fillId="0" borderId="0" xfId="0" applyFont="1" applyBorder="1"/>
    <xf numFmtId="166" fontId="8" fillId="0" borderId="1" xfId="1" applyNumberFormat="1" applyFont="1" applyBorder="1"/>
    <xf numFmtId="0" fontId="2" fillId="0" borderId="0" xfId="0" applyFont="1" applyFill="1" applyAlignment="1">
      <alignment horizontal="right"/>
    </xf>
    <xf numFmtId="0" fontId="100" fillId="0" borderId="0" xfId="0" applyFont="1" applyFill="1" applyBorder="1"/>
    <xf numFmtId="0" fontId="138" fillId="0" borderId="0" xfId="0" applyFont="1" applyAlignment="1"/>
    <xf numFmtId="22" fontId="10" fillId="0" borderId="7" xfId="0" applyNumberFormat="1" applyFont="1" applyBorder="1" applyAlignment="1"/>
    <xf numFmtId="170" fontId="102" fillId="2" borderId="5" xfId="0" applyNumberFormat="1" applyFont="1" applyFill="1" applyBorder="1" applyAlignment="1"/>
    <xf numFmtId="166" fontId="2" fillId="0" borderId="2" xfId="0" applyNumberFormat="1" applyFont="1" applyFill="1" applyBorder="1"/>
    <xf numFmtId="0" fontId="116" fillId="0" borderId="1" xfId="0" applyFont="1" applyBorder="1"/>
    <xf numFmtId="0" fontId="2" fillId="0" borderId="1" xfId="0" applyFont="1" applyFill="1" applyBorder="1" applyAlignment="1">
      <alignment horizontal="right"/>
    </xf>
    <xf numFmtId="0" fontId="89" fillId="0" borderId="0" xfId="0" applyFont="1" applyFill="1" applyBorder="1" applyAlignment="1">
      <alignment vertical="center"/>
    </xf>
    <xf numFmtId="180" fontId="137" fillId="0" borderId="0" xfId="0" applyNumberFormat="1" applyFont="1" applyBorder="1" applyAlignment="1">
      <alignment horizontal="center"/>
    </xf>
    <xf numFmtId="0" fontId="8" fillId="0" borderId="0" xfId="0" applyFont="1" applyBorder="1" applyAlignment="1">
      <alignment horizontal="right"/>
    </xf>
    <xf numFmtId="0" fontId="138" fillId="0" borderId="0" xfId="0" applyFont="1" applyBorder="1" applyAlignment="1"/>
    <xf numFmtId="0" fontId="89" fillId="0" borderId="0" xfId="0" applyFont="1" applyBorder="1" applyAlignment="1">
      <alignment vertical="center"/>
    </xf>
    <xf numFmtId="18" fontId="8" fillId="0" borderId="0" xfId="0" applyNumberFormat="1" applyFont="1" applyBorder="1"/>
    <xf numFmtId="0" fontId="8" fillId="0" borderId="0" xfId="0" applyFont="1" applyBorder="1"/>
    <xf numFmtId="0" fontId="138" fillId="0" borderId="0" xfId="0" applyFont="1" applyBorder="1" applyAlignment="1">
      <alignment horizontal="center"/>
    </xf>
    <xf numFmtId="14" fontId="0" fillId="0" borderId="0" xfId="0" applyNumberFormat="1" applyBorder="1" applyAlignment="1">
      <alignment horizontal="center"/>
    </xf>
    <xf numFmtId="22" fontId="10" fillId="0" borderId="0" xfId="0" applyNumberFormat="1" applyFont="1" applyBorder="1" applyAlignment="1"/>
    <xf numFmtId="0" fontId="103" fillId="4" borderId="8" xfId="0" applyFont="1" applyFill="1" applyBorder="1"/>
    <xf numFmtId="0" fontId="103" fillId="0" borderId="0" xfId="0" applyFont="1" applyFill="1" applyBorder="1"/>
    <xf numFmtId="0" fontId="11" fillId="0" borderId="0" xfId="0" applyFont="1" applyAlignment="1">
      <alignment horizontal="left"/>
    </xf>
    <xf numFmtId="0" fontId="86" fillId="0" borderId="0" xfId="0" applyFont="1" applyFill="1"/>
    <xf numFmtId="0" fontId="151" fillId="0" borderId="1" xfId="0" applyFont="1" applyFill="1" applyBorder="1" applyAlignment="1">
      <alignment horizontal="left"/>
    </xf>
    <xf numFmtId="0" fontId="41" fillId="0" borderId="0" xfId="0" applyFont="1" applyFill="1" applyBorder="1" applyAlignment="1">
      <alignment horizontal="right"/>
    </xf>
    <xf numFmtId="166" fontId="30" fillId="0" borderId="0" xfId="0" applyNumberFormat="1" applyFont="1" applyFill="1" applyAlignment="1">
      <alignment horizontal="left"/>
    </xf>
    <xf numFmtId="164" fontId="2" fillId="0" borderId="1" xfId="0" applyNumberFormat="1" applyFont="1" applyFill="1" applyBorder="1" applyAlignment="1">
      <alignment horizontal="right"/>
    </xf>
    <xf numFmtId="0" fontId="112" fillId="0" borderId="0" xfId="0" applyFont="1" applyFill="1"/>
    <xf numFmtId="0" fontId="12" fillId="0" borderId="0" xfId="0" applyFont="1" applyAlignment="1">
      <alignment horizontal="left" indent="2"/>
    </xf>
    <xf numFmtId="0" fontId="5" fillId="0" borderId="0" xfId="0" applyFont="1" applyFill="1" applyBorder="1"/>
    <xf numFmtId="0" fontId="89" fillId="4" borderId="0" xfId="0" applyFont="1" applyFill="1" applyBorder="1" applyAlignment="1">
      <alignment vertical="center"/>
    </xf>
    <xf numFmtId="0" fontId="89" fillId="4" borderId="0" xfId="0" applyFont="1" applyFill="1" applyAlignment="1">
      <alignment vertical="center"/>
    </xf>
    <xf numFmtId="0" fontId="153" fillId="4" borderId="0" xfId="0" applyFont="1" applyFill="1" applyAlignment="1">
      <alignment horizontal="left"/>
    </xf>
    <xf numFmtId="0" fontId="11" fillId="0" borderId="0" xfId="0" applyFont="1" applyBorder="1" applyAlignment="1">
      <alignment horizontal="center"/>
    </xf>
    <xf numFmtId="0" fontId="102" fillId="6" borderId="6" xfId="0" applyFont="1" applyFill="1" applyBorder="1" applyAlignment="1">
      <alignment vertical="center"/>
    </xf>
    <xf numFmtId="0" fontId="102" fillId="6" borderId="4" xfId="0" applyFont="1" applyFill="1" applyBorder="1" applyAlignment="1">
      <alignment vertical="center"/>
    </xf>
    <xf numFmtId="0" fontId="138" fillId="0" borderId="11" xfId="0" applyFont="1" applyBorder="1"/>
    <xf numFmtId="0" fontId="102" fillId="6" borderId="3" xfId="0" applyFont="1" applyFill="1" applyBorder="1" applyAlignment="1">
      <alignment vertical="center"/>
    </xf>
    <xf numFmtId="180" fontId="86" fillId="0" borderId="7" xfId="0" applyNumberFormat="1" applyFont="1" applyBorder="1" applyAlignment="1">
      <alignment horizontal="center"/>
    </xf>
    <xf numFmtId="0" fontId="24" fillId="0" borderId="7" xfId="0" applyFont="1" applyBorder="1" applyAlignment="1"/>
    <xf numFmtId="0" fontId="8" fillId="0" borderId="11" xfId="0" applyFont="1" applyBorder="1"/>
    <xf numFmtId="0" fontId="101" fillId="0" borderId="11" xfId="0" applyFont="1" applyFill="1" applyBorder="1" applyAlignment="1"/>
    <xf numFmtId="0" fontId="37" fillId="0" borderId="0" xfId="0" applyFont="1" applyFill="1" applyBorder="1" applyAlignment="1"/>
    <xf numFmtId="179" fontId="123" fillId="0" borderId="0" xfId="0" applyNumberFormat="1" applyFont="1" applyFill="1" applyAlignment="1" applyProtection="1">
      <alignment horizontal="right" vertical="top" wrapText="1" readingOrder="1"/>
      <protection locked="0"/>
    </xf>
    <xf numFmtId="179" fontId="2" fillId="0" borderId="0" xfId="0" applyNumberFormat="1" applyFont="1" applyFill="1"/>
    <xf numFmtId="4" fontId="2" fillId="0" borderId="0" xfId="0" applyNumberFormat="1" applyFont="1" applyFill="1"/>
    <xf numFmtId="0" fontId="30" fillId="28" borderId="13" xfId="0" applyFont="1" applyFill="1" applyBorder="1"/>
    <xf numFmtId="0" fontId="2" fillId="29" borderId="13" xfId="0" applyFont="1" applyFill="1" applyBorder="1"/>
    <xf numFmtId="0" fontId="2" fillId="2" borderId="13" xfId="0" applyFont="1" applyFill="1" applyBorder="1"/>
    <xf numFmtId="0" fontId="30" fillId="16" borderId="13" xfId="0" applyFont="1" applyFill="1" applyBorder="1"/>
    <xf numFmtId="2" fontId="30" fillId="16" borderId="0" xfId="0" applyNumberFormat="1" applyFont="1" applyFill="1"/>
    <xf numFmtId="179" fontId="30" fillId="16" borderId="0" xfId="0" applyNumberFormat="1" applyFont="1" applyFill="1"/>
    <xf numFmtId="4" fontId="30" fillId="16" borderId="0" xfId="0" applyNumberFormat="1" applyFont="1" applyFill="1"/>
    <xf numFmtId="4" fontId="30" fillId="16" borderId="0" xfId="0" applyNumberFormat="1" applyFont="1" applyFill="1" applyAlignment="1">
      <alignment horizontal="right"/>
    </xf>
    <xf numFmtId="2" fontId="30" fillId="28" borderId="0" xfId="0" applyNumberFormat="1" applyFont="1" applyFill="1"/>
    <xf numFmtId="179" fontId="30" fillId="28" borderId="0" xfId="0" applyNumberFormat="1" applyFont="1" applyFill="1"/>
    <xf numFmtId="4" fontId="30" fillId="28" borderId="0" xfId="0" applyNumberFormat="1" applyFont="1" applyFill="1"/>
    <xf numFmtId="2" fontId="30" fillId="29" borderId="0" xfId="0" applyNumberFormat="1" applyFont="1" applyFill="1"/>
    <xf numFmtId="179" fontId="30" fillId="29" borderId="0" xfId="0" applyNumberFormat="1" applyFont="1" applyFill="1"/>
    <xf numFmtId="4" fontId="30" fillId="29" borderId="0" xfId="0" applyNumberFormat="1" applyFont="1" applyFill="1"/>
    <xf numFmtId="2" fontId="30" fillId="2" borderId="0" xfId="0" applyNumberFormat="1" applyFont="1" applyFill="1"/>
    <xf numFmtId="179" fontId="30" fillId="2" borderId="0" xfId="0" applyNumberFormat="1" applyFont="1" applyFill="1"/>
    <xf numFmtId="4" fontId="30" fillId="2" borderId="0" xfId="0" applyNumberFormat="1" applyFont="1" applyFill="1"/>
    <xf numFmtId="179" fontId="85" fillId="16" borderId="0" xfId="0" applyNumberFormat="1" applyFont="1" applyFill="1"/>
    <xf numFmtId="4" fontId="85" fillId="16" borderId="0" xfId="0" applyNumberFormat="1" applyFont="1" applyFill="1"/>
    <xf numFmtId="4" fontId="85" fillId="16" borderId="0" xfId="0" applyNumberFormat="1" applyFont="1" applyFill="1" applyAlignment="1">
      <alignment horizontal="right"/>
    </xf>
    <xf numFmtId="0" fontId="154" fillId="0" borderId="0" xfId="0" applyFont="1" applyAlignment="1">
      <alignment horizontal="center"/>
    </xf>
    <xf numFmtId="2" fontId="30" fillId="0" borderId="0" xfId="0" applyNumberFormat="1" applyFont="1" applyFill="1"/>
    <xf numFmtId="179" fontId="30" fillId="0" borderId="0" xfId="0" applyNumberFormat="1" applyFont="1" applyFill="1"/>
    <xf numFmtId="4" fontId="30" fillId="0" borderId="0" xfId="0" applyNumberFormat="1" applyFont="1" applyFill="1"/>
    <xf numFmtId="2" fontId="5" fillId="0" borderId="0" xfId="0" applyNumberFormat="1" applyFont="1"/>
    <xf numFmtId="0" fontId="24" fillId="0" borderId="1" xfId="0" applyFont="1" applyFill="1" applyBorder="1"/>
    <xf numFmtId="0" fontId="2" fillId="0" borderId="0" xfId="0" applyFont="1" applyFill="1" applyAlignment="1">
      <alignment horizontal="left" indent="1"/>
    </xf>
    <xf numFmtId="0" fontId="106" fillId="0" borderId="0" xfId="0" applyFont="1" applyFill="1"/>
    <xf numFmtId="0" fontId="41" fillId="0" borderId="0" xfId="0" applyFont="1" applyBorder="1" applyAlignment="1">
      <alignment horizontal="left"/>
    </xf>
    <xf numFmtId="0" fontId="102" fillId="6" borderId="9" xfId="0" applyFont="1" applyFill="1" applyBorder="1" applyAlignment="1">
      <alignment vertical="center"/>
    </xf>
    <xf numFmtId="0" fontId="2" fillId="5" borderId="0" xfId="0" applyFont="1" applyFill="1" applyBorder="1"/>
    <xf numFmtId="0" fontId="116" fillId="0" borderId="0" xfId="0" applyFont="1" applyFill="1"/>
    <xf numFmtId="0" fontId="5" fillId="0" borderId="1" xfId="0" applyFont="1" applyFill="1" applyBorder="1"/>
    <xf numFmtId="0" fontId="125" fillId="0" borderId="0" xfId="0" applyFont="1" applyAlignment="1">
      <alignment horizontal="left" vertical="center" indent="1"/>
    </xf>
    <xf numFmtId="0" fontId="88" fillId="0" borderId="0" xfId="0" applyFont="1" applyAlignment="1">
      <alignment horizontal="left" vertical="center" indent="1"/>
    </xf>
    <xf numFmtId="0" fontId="99" fillId="0" borderId="0" xfId="0" applyFont="1" applyAlignment="1">
      <alignment horizontal="left" indent="1"/>
    </xf>
    <xf numFmtId="170" fontId="102" fillId="2" borderId="14" xfId="0" applyNumberFormat="1" applyFont="1" applyFill="1" applyBorder="1"/>
    <xf numFmtId="164" fontId="86" fillId="0" borderId="0" xfId="0" applyNumberFormat="1" applyFont="1"/>
    <xf numFmtId="186" fontId="86" fillId="0" borderId="0" xfId="0" applyNumberFormat="1" applyFont="1"/>
    <xf numFmtId="166" fontId="2" fillId="0" borderId="13" xfId="1" applyNumberFormat="1" applyFont="1" applyFill="1" applyBorder="1"/>
    <xf numFmtId="166" fontId="2" fillId="0" borderId="12" xfId="1" applyNumberFormat="1" applyFont="1" applyFill="1" applyBorder="1"/>
    <xf numFmtId="0" fontId="0" fillId="0" borderId="0" xfId="0" applyFont="1" applyFill="1" applyBorder="1"/>
    <xf numFmtId="0" fontId="111" fillId="0" borderId="0" xfId="0" applyFont="1" applyBorder="1"/>
    <xf numFmtId="166" fontId="2" fillId="26" borderId="0" xfId="1" applyNumberFormat="1" applyFont="1" applyFill="1" applyBorder="1"/>
    <xf numFmtId="166" fontId="2" fillId="26" borderId="1" xfId="1" applyNumberFormat="1" applyFont="1" applyFill="1" applyBorder="1"/>
    <xf numFmtId="166" fontId="156" fillId="0" borderId="0" xfId="20" applyNumberFormat="1" applyFont="1" applyBorder="1"/>
    <xf numFmtId="0" fontId="2" fillId="0" borderId="0" xfId="0" applyFont="1" applyAlignment="1">
      <alignment horizontal="right"/>
    </xf>
    <xf numFmtId="10" fontId="30" fillId="0" borderId="0" xfId="2" applyNumberFormat="1" applyFont="1" applyFill="1"/>
    <xf numFmtId="0" fontId="88" fillId="0" borderId="10" xfId="0" applyFont="1" applyBorder="1"/>
    <xf numFmtId="0" fontId="88" fillId="0" borderId="4" xfId="0" applyFont="1" applyBorder="1"/>
    <xf numFmtId="0" fontId="88" fillId="0" borderId="7" xfId="0" applyFont="1" applyBorder="1"/>
    <xf numFmtId="0" fontId="89" fillId="4" borderId="0" xfId="0" applyFont="1" applyFill="1"/>
    <xf numFmtId="10" fontId="123" fillId="0" borderId="0" xfId="2" applyNumberFormat="1" applyFont="1" applyBorder="1" applyAlignment="1" applyProtection="1">
      <alignment horizontal="right" wrapText="1" readingOrder="1"/>
      <protection locked="0"/>
    </xf>
    <xf numFmtId="10" fontId="123" fillId="0" borderId="0" xfId="2" applyNumberFormat="1" applyFont="1" applyFill="1" applyBorder="1" applyAlignment="1" applyProtection="1">
      <alignment horizontal="right" wrapText="1" readingOrder="1"/>
      <protection locked="0"/>
    </xf>
    <xf numFmtId="43" fontId="2" fillId="0" borderId="0" xfId="1" applyFont="1"/>
    <xf numFmtId="9" fontId="2" fillId="0" borderId="0" xfId="2" applyFont="1"/>
    <xf numFmtId="2" fontId="2" fillId="0" borderId="0" xfId="0" applyNumberFormat="1" applyFont="1" applyAlignment="1">
      <alignment horizontal="right"/>
    </xf>
    <xf numFmtId="2" fontId="2" fillId="0" borderId="1" xfId="0" applyNumberFormat="1" applyFont="1" applyBorder="1" applyAlignment="1">
      <alignment horizontal="right"/>
    </xf>
    <xf numFmtId="2" fontId="30" fillId="0" borderId="0" xfId="0" applyNumberFormat="1" applyFont="1"/>
    <xf numFmtId="17" fontId="2" fillId="0" borderId="0" xfId="0" applyNumberFormat="1" applyFont="1"/>
    <xf numFmtId="17" fontId="2" fillId="0" borderId="0" xfId="0" applyNumberFormat="1" applyFont="1" applyAlignment="1">
      <alignment horizontal="right"/>
    </xf>
    <xf numFmtId="1" fontId="2" fillId="0" borderId="0" xfId="1" applyNumberFormat="1" applyFont="1"/>
    <xf numFmtId="0" fontId="103" fillId="0" borderId="0" xfId="0" applyFont="1"/>
    <xf numFmtId="10" fontId="86" fillId="0" borderId="0" xfId="2" applyNumberFormat="1" applyFont="1" applyFill="1" applyBorder="1" applyAlignment="1">
      <alignment horizontal="right"/>
    </xf>
    <xf numFmtId="165" fontId="86" fillId="0" borderId="0" xfId="0" applyNumberFormat="1" applyFont="1"/>
    <xf numFmtId="165" fontId="85" fillId="5" borderId="2" xfId="0" applyNumberFormat="1" applyFont="1" applyFill="1" applyBorder="1"/>
    <xf numFmtId="165" fontId="85" fillId="5" borderId="4" xfId="0" applyNumberFormat="1" applyFont="1" applyFill="1" applyBorder="1"/>
    <xf numFmtId="17" fontId="30" fillId="0" borderId="0" xfId="0" applyNumberFormat="1" applyFont="1" applyAlignment="1">
      <alignment horizontal="left"/>
    </xf>
    <xf numFmtId="17" fontId="2" fillId="0" borderId="1" xfId="0" applyNumberFormat="1" applyFont="1" applyBorder="1" applyAlignment="1">
      <alignment horizontal="left"/>
    </xf>
    <xf numFmtId="0" fontId="100" fillId="4" borderId="9" xfId="0" applyFont="1" applyFill="1" applyBorder="1"/>
    <xf numFmtId="164" fontId="2" fillId="0" borderId="0" xfId="0" quotePrefix="1" applyNumberFormat="1" applyFont="1" applyAlignment="1">
      <alignment horizontal="right"/>
    </xf>
    <xf numFmtId="186" fontId="2" fillId="0" borderId="0" xfId="0" applyNumberFormat="1" applyFont="1"/>
    <xf numFmtId="169" fontId="0" fillId="0" borderId="0" xfId="0" applyNumberFormat="1"/>
    <xf numFmtId="166" fontId="142" fillId="0" borderId="0" xfId="1" applyNumberFormat="1" applyFont="1" applyFill="1" applyBorder="1"/>
    <xf numFmtId="170" fontId="2" fillId="2" borderId="0" xfId="0" applyNumberFormat="1" applyFont="1" applyFill="1"/>
    <xf numFmtId="170" fontId="2" fillId="0" borderId="0" xfId="0" applyNumberFormat="1" applyFont="1" applyAlignment="1">
      <alignment horizontal="left" indent="1"/>
    </xf>
    <xf numFmtId="186" fontId="2" fillId="26" borderId="0" xfId="0" applyNumberFormat="1" applyFont="1" applyFill="1"/>
    <xf numFmtId="1" fontId="2" fillId="0" borderId="0" xfId="1" applyNumberFormat="1" applyFont="1" applyFill="1"/>
    <xf numFmtId="1" fontId="158" fillId="0" borderId="0" xfId="1" applyNumberFormat="1" applyFont="1" applyFill="1"/>
    <xf numFmtId="168" fontId="2" fillId="0" borderId="1" xfId="1" applyNumberFormat="1" applyFont="1" applyBorder="1"/>
    <xf numFmtId="1" fontId="2" fillId="0" borderId="1" xfId="1" applyNumberFormat="1" applyFont="1" applyBorder="1"/>
    <xf numFmtId="166" fontId="85" fillId="0" borderId="1" xfId="1" applyNumberFormat="1" applyFont="1" applyFill="1" applyBorder="1" applyAlignment="1">
      <alignment horizontal="right"/>
    </xf>
    <xf numFmtId="0" fontId="0" fillId="0" borderId="0" xfId="0" applyFont="1"/>
    <xf numFmtId="0" fontId="0" fillId="0" borderId="1" xfId="0" applyFont="1" applyBorder="1"/>
    <xf numFmtId="0" fontId="0" fillId="0" borderId="0" xfId="0" applyFont="1" applyAlignment="1">
      <alignment horizontal="right"/>
    </xf>
    <xf numFmtId="166" fontId="2" fillId="0" borderId="9" xfId="1" applyNumberFormat="1" applyFont="1" applyFill="1" applyBorder="1"/>
    <xf numFmtId="166" fontId="2" fillId="0" borderId="0" xfId="0" applyNumberFormat="1" applyFont="1" applyFill="1" applyBorder="1" applyAlignment="1">
      <alignment horizontal="right"/>
    </xf>
    <xf numFmtId="166" fontId="24" fillId="0" borderId="1" xfId="1" applyNumberFormat="1" applyFont="1" applyFill="1" applyBorder="1"/>
    <xf numFmtId="0" fontId="8" fillId="0" borderId="1" xfId="0" applyFont="1" applyFill="1" applyBorder="1"/>
    <xf numFmtId="0" fontId="8" fillId="0" borderId="0" xfId="0" applyFont="1" applyFill="1" applyAlignment="1">
      <alignment horizontal="left" indent="1"/>
    </xf>
    <xf numFmtId="166" fontId="30" fillId="0" borderId="2" xfId="0" applyNumberFormat="1" applyFont="1" applyFill="1" applyBorder="1"/>
    <xf numFmtId="166" fontId="2" fillId="0" borderId="1" xfId="0" applyNumberFormat="1" applyFont="1" applyFill="1" applyBorder="1" applyAlignment="1">
      <alignment horizontal="right"/>
    </xf>
    <xf numFmtId="17" fontId="2" fillId="0" borderId="0" xfId="0" applyNumberFormat="1" applyFont="1" applyFill="1" applyAlignment="1">
      <alignment horizontal="right"/>
    </xf>
    <xf numFmtId="0" fontId="121" fillId="0" borderId="0" xfId="0" applyFont="1" applyFill="1"/>
    <xf numFmtId="10" fontId="86" fillId="0" borderId="0" xfId="0" applyNumberFormat="1" applyFont="1" applyFill="1"/>
    <xf numFmtId="167" fontId="85" fillId="0" borderId="0" xfId="0" applyNumberFormat="1" applyFont="1" applyFill="1"/>
    <xf numFmtId="166" fontId="2" fillId="27" borderId="0" xfId="1" applyNumberFormat="1" applyFont="1" applyFill="1" applyBorder="1"/>
    <xf numFmtId="166" fontId="2" fillId="0" borderId="13" xfId="1" applyNumberFormat="1" applyFont="1" applyBorder="1"/>
    <xf numFmtId="166" fontId="2" fillId="0" borderId="0" xfId="1" applyNumberFormat="1" applyFont="1" applyBorder="1" applyAlignment="1">
      <alignment horizontal="right"/>
    </xf>
    <xf numFmtId="0" fontId="17" fillId="0" borderId="0" xfId="0" applyFont="1" applyFill="1" applyBorder="1"/>
    <xf numFmtId="180" fontId="105" fillId="0" borderId="7" xfId="0" applyNumberFormat="1" applyFont="1" applyBorder="1"/>
    <xf numFmtId="43" fontId="85" fillId="0" borderId="7" xfId="1" applyFont="1" applyBorder="1" applyAlignment="1">
      <alignment horizontal="right"/>
    </xf>
    <xf numFmtId="18" fontId="99" fillId="0" borderId="7" xfId="0" applyNumberFormat="1" applyFont="1" applyBorder="1"/>
    <xf numFmtId="0" fontId="99" fillId="0" borderId="11" xfId="0" applyFont="1" applyBorder="1"/>
    <xf numFmtId="166" fontId="159" fillId="2" borderId="0" xfId="1" applyNumberFormat="1" applyFont="1" applyFill="1" applyBorder="1"/>
    <xf numFmtId="0" fontId="8" fillId="0" borderId="0" xfId="0" applyFont="1" applyAlignment="1">
      <alignment horizontal="left" indent="1"/>
    </xf>
    <xf numFmtId="0" fontId="160" fillId="0" borderId="0" xfId="0" applyFont="1"/>
    <xf numFmtId="0" fontId="40" fillId="4" borderId="0" xfId="0" applyFont="1" applyFill="1"/>
    <xf numFmtId="0" fontId="112" fillId="4" borderId="0" xfId="0" applyFont="1" applyFill="1" applyAlignment="1">
      <alignment horizontal="right"/>
    </xf>
    <xf numFmtId="0" fontId="157" fillId="4" borderId="9" xfId="0" applyFont="1" applyFill="1" applyBorder="1" applyAlignment="1">
      <alignment horizontal="left" indent="1"/>
    </xf>
    <xf numFmtId="0" fontId="157" fillId="0" borderId="9" xfId="0" applyFont="1" applyBorder="1" applyAlignment="1">
      <alignment horizontal="left" indent="1"/>
    </xf>
    <xf numFmtId="166" fontId="2" fillId="0" borderId="0" xfId="0" applyNumberFormat="1" applyFont="1" applyBorder="1"/>
    <xf numFmtId="166" fontId="112" fillId="4" borderId="0" xfId="1" applyNumberFormat="1" applyFont="1" applyFill="1" applyBorder="1" applyAlignment="1">
      <alignment horizontal="right"/>
    </xf>
    <xf numFmtId="166" fontId="159" fillId="0" borderId="0" xfId="1" applyNumberFormat="1" applyFont="1" applyFill="1" applyBorder="1"/>
    <xf numFmtId="0" fontId="2" fillId="0" borderId="0" xfId="0" applyFont="1" applyFill="1" applyBorder="1" applyAlignment="1">
      <alignment horizontal="right"/>
    </xf>
    <xf numFmtId="0" fontId="88" fillId="0" borderId="0" xfId="0" applyFont="1" applyFill="1" applyBorder="1" applyAlignment="1"/>
    <xf numFmtId="170" fontId="102" fillId="2" borderId="14" xfId="0" applyNumberFormat="1" applyFont="1" applyFill="1" applyBorder="1" applyAlignment="1">
      <alignment horizontal="right"/>
    </xf>
    <xf numFmtId="0" fontId="41" fillId="0" borderId="0" xfId="0" applyFont="1" applyFill="1" applyAlignment="1">
      <alignment horizontal="left" indent="1"/>
    </xf>
    <xf numFmtId="166" fontId="2" fillId="0" borderId="0" xfId="1" applyNumberFormat="1" applyFont="1" applyFill="1" applyBorder="1" applyAlignment="1">
      <alignment horizontal="left" indent="1"/>
    </xf>
    <xf numFmtId="0" fontId="30" fillId="0" borderId="0" xfId="0" applyFont="1" applyFill="1" applyAlignment="1">
      <alignment horizontal="left" indent="1"/>
    </xf>
    <xf numFmtId="0" fontId="151" fillId="0" borderId="0" xfId="0" applyFont="1" applyFill="1" applyBorder="1" applyAlignment="1">
      <alignment vertical="center"/>
    </xf>
    <xf numFmtId="166" fontId="8" fillId="0" borderId="0" xfId="0" applyNumberFormat="1" applyFont="1" applyFill="1"/>
    <xf numFmtId="0" fontId="110" fillId="0" borderId="0" xfId="0" applyFont="1" applyFill="1" applyBorder="1" applyAlignment="1">
      <alignment horizontal="right"/>
    </xf>
    <xf numFmtId="0" fontId="151" fillId="0" borderId="0" xfId="0" applyFont="1" applyFill="1" applyBorder="1" applyAlignment="1">
      <alignment horizontal="left"/>
    </xf>
    <xf numFmtId="0" fontId="17" fillId="0" borderId="0" xfId="0" applyFont="1" applyFill="1" applyAlignment="1">
      <alignment horizontal="left" indent="1"/>
    </xf>
    <xf numFmtId="0" fontId="30" fillId="0" borderId="0" xfId="0" applyFont="1" applyBorder="1" applyAlignment="1">
      <alignment horizontal="left" indent="1"/>
    </xf>
    <xf numFmtId="0" fontId="30" fillId="0" borderId="0" xfId="0" applyFont="1" applyFill="1" applyBorder="1" applyAlignment="1">
      <alignment horizontal="left" indent="1"/>
    </xf>
    <xf numFmtId="0" fontId="17" fillId="0" borderId="1" xfId="0" applyFont="1" applyBorder="1"/>
    <xf numFmtId="166" fontId="30" fillId="0" borderId="0" xfId="1" applyNumberFormat="1" applyFont="1" applyFill="1" applyBorder="1" applyAlignment="1">
      <alignment horizontal="right"/>
    </xf>
    <xf numFmtId="0" fontId="30" fillId="2" borderId="0" xfId="0" applyFont="1" applyFill="1" applyAlignment="1">
      <alignment horizontal="left"/>
    </xf>
    <xf numFmtId="166" fontId="30" fillId="2" borderId="0" xfId="1" applyNumberFormat="1" applyFont="1" applyFill="1" applyBorder="1" applyAlignment="1"/>
    <xf numFmtId="166" fontId="30" fillId="0" borderId="0" xfId="0" applyNumberFormat="1" applyFont="1" applyAlignment="1">
      <alignment horizontal="left"/>
    </xf>
    <xf numFmtId="0" fontId="161" fillId="0" borderId="0" xfId="0" applyFont="1" applyAlignment="1">
      <alignment horizontal="left"/>
    </xf>
    <xf numFmtId="0" fontId="88" fillId="0" borderId="0" xfId="0" applyFont="1" applyAlignment="1">
      <alignment horizontal="center"/>
    </xf>
    <xf numFmtId="0" fontId="0" fillId="0" borderId="1" xfId="0" applyFont="1" applyFill="1" applyBorder="1"/>
    <xf numFmtId="0" fontId="5" fillId="0" borderId="0" xfId="0" applyFont="1" applyAlignment="1">
      <alignment horizontal="center"/>
    </xf>
    <xf numFmtId="0" fontId="30" fillId="16" borderId="0" xfId="0" applyFont="1" applyFill="1" applyAlignment="1">
      <alignment horizontal="left"/>
    </xf>
    <xf numFmtId="0" fontId="30" fillId="16" borderId="13" xfId="0" applyFont="1" applyFill="1" applyBorder="1" applyAlignment="1">
      <alignment horizontal="left"/>
    </xf>
    <xf numFmtId="0" fontId="30" fillId="28" borderId="0" xfId="0" applyFont="1" applyFill="1" applyAlignment="1">
      <alignment horizontal="left"/>
    </xf>
    <xf numFmtId="0" fontId="30" fillId="28" borderId="13" xfId="0" applyFont="1" applyFill="1" applyBorder="1" applyAlignment="1">
      <alignment horizontal="left"/>
    </xf>
    <xf numFmtId="0" fontId="30" fillId="29" borderId="0" xfId="0" applyFont="1" applyFill="1" applyAlignment="1">
      <alignment horizontal="left"/>
    </xf>
    <xf numFmtId="0" fontId="2" fillId="29" borderId="13" xfId="0" applyFont="1" applyFill="1" applyBorder="1" applyAlignment="1">
      <alignment horizontal="left"/>
    </xf>
    <xf numFmtId="0" fontId="2" fillId="2" borderId="13" xfId="0" applyFont="1" applyFill="1" applyBorder="1" applyAlignment="1">
      <alignment horizontal="left"/>
    </xf>
    <xf numFmtId="0" fontId="162" fillId="0" borderId="1" xfId="0" applyFont="1" applyFill="1" applyBorder="1"/>
    <xf numFmtId="166" fontId="161" fillId="0" borderId="0" xfId="1" applyNumberFormat="1" applyFont="1" applyFill="1" applyBorder="1" applyAlignment="1"/>
    <xf numFmtId="0" fontId="30" fillId="0" borderId="1" xfId="0" applyFont="1" applyFill="1" applyBorder="1" applyAlignment="1">
      <alignment horizontal="left"/>
    </xf>
    <xf numFmtId="0" fontId="17" fillId="0" borderId="1" xfId="0" applyFont="1" applyFill="1" applyBorder="1"/>
    <xf numFmtId="0" fontId="101" fillId="0" borderId="0" xfId="0" applyFont="1" applyBorder="1" applyAlignment="1">
      <alignment horizontal="center"/>
    </xf>
    <xf numFmtId="180" fontId="105" fillId="0" borderId="0" xfId="0" applyNumberFormat="1" applyFont="1" applyBorder="1"/>
    <xf numFmtId="43" fontId="85" fillId="0" borderId="0" xfId="1" applyFont="1" applyBorder="1" applyAlignment="1">
      <alignment horizontal="right"/>
    </xf>
    <xf numFmtId="0" fontId="99" fillId="0" borderId="0" xfId="0" applyFont="1" applyBorder="1" applyAlignment="1">
      <alignment horizontal="right"/>
    </xf>
    <xf numFmtId="18" fontId="99" fillId="0" borderId="0" xfId="0" applyNumberFormat="1" applyFont="1" applyBorder="1"/>
    <xf numFmtId="0" fontId="99" fillId="0" borderId="0" xfId="0" applyFont="1" applyBorder="1"/>
    <xf numFmtId="0" fontId="101" fillId="0" borderId="0" xfId="0" applyFont="1" applyFill="1" applyBorder="1" applyAlignment="1">
      <alignment horizontal="right"/>
    </xf>
    <xf numFmtId="0" fontId="17" fillId="0" borderId="0" xfId="0" applyFont="1" applyFill="1" applyAlignment="1">
      <alignment horizontal="left"/>
    </xf>
    <xf numFmtId="0" fontId="0" fillId="0" borderId="0" xfId="0" applyAlignment="1">
      <alignment horizontal="right" indent="1"/>
    </xf>
    <xf numFmtId="0" fontId="2" fillId="0" borderId="0" xfId="0" applyFont="1" applyAlignment="1">
      <alignment horizontal="left" indent="2"/>
    </xf>
    <xf numFmtId="0" fontId="87" fillId="0" borderId="0" xfId="0" applyFont="1" applyFill="1" applyBorder="1"/>
    <xf numFmtId="0" fontId="8" fillId="0" borderId="0" xfId="0" applyFont="1" applyFill="1" applyBorder="1"/>
    <xf numFmtId="0" fontId="138" fillId="0" borderId="0" xfId="0" applyFont="1" applyFill="1" applyBorder="1" applyAlignment="1">
      <alignment horizontal="right"/>
    </xf>
    <xf numFmtId="0" fontId="160" fillId="0" borderId="0" xfId="0" applyFont="1" applyFill="1" applyBorder="1"/>
    <xf numFmtId="0" fontId="70" fillId="0" borderId="0" xfId="0" applyFont="1" applyFill="1" applyBorder="1"/>
    <xf numFmtId="0" fontId="5" fillId="0" borderId="0" xfId="0" applyFont="1" applyFill="1" applyAlignment="1">
      <alignment horizontal="center"/>
    </xf>
    <xf numFmtId="0" fontId="161" fillId="0" borderId="0" xfId="0" applyFont="1" applyFill="1" applyAlignment="1">
      <alignment horizontal="left"/>
    </xf>
    <xf numFmtId="0" fontId="2" fillId="0" borderId="0" xfId="0" applyFont="1" applyFill="1" applyAlignment="1">
      <alignment horizontal="left"/>
    </xf>
    <xf numFmtId="166" fontId="85" fillId="0" borderId="1" xfId="0" applyNumberFormat="1" applyFont="1" applyFill="1" applyBorder="1"/>
    <xf numFmtId="0" fontId="70" fillId="0" borderId="0" xfId="0" applyFont="1" applyFill="1" applyBorder="1" applyAlignment="1">
      <alignment horizontal="left"/>
    </xf>
    <xf numFmtId="0" fontId="2" fillId="0" borderId="0" xfId="0" applyFont="1" applyFill="1" applyAlignment="1"/>
    <xf numFmtId="0" fontId="0" fillId="0" borderId="0" xfId="0" applyAlignment="1"/>
    <xf numFmtId="0" fontId="2" fillId="0" borderId="0" xfId="0" applyFont="1" applyBorder="1" applyAlignment="1">
      <alignment horizontal="right"/>
    </xf>
    <xf numFmtId="0" fontId="0" fillId="0" borderId="0" xfId="0" applyFill="1" applyAlignment="1"/>
    <xf numFmtId="0" fontId="24" fillId="0" borderId="0" xfId="0" applyFont="1" applyFill="1" applyBorder="1"/>
    <xf numFmtId="0" fontId="148" fillId="0" borderId="0" xfId="0" applyFont="1" applyFill="1" applyBorder="1"/>
    <xf numFmtId="0" fontId="5" fillId="0" borderId="7" xfId="0" applyFont="1" applyBorder="1"/>
    <xf numFmtId="0" fontId="24" fillId="0" borderId="7" xfId="0" applyFont="1" applyBorder="1"/>
    <xf numFmtId="0" fontId="148" fillId="0" borderId="7" xfId="0" applyFont="1" applyBorder="1"/>
    <xf numFmtId="0" fontId="33" fillId="0" borderId="0" xfId="0" applyFont="1" applyAlignment="1">
      <alignment horizontal="right"/>
    </xf>
    <xf numFmtId="0" fontId="2" fillId="0" borderId="0" xfId="0" applyFont="1" applyBorder="1" applyAlignment="1">
      <alignment horizontal="center"/>
    </xf>
    <xf numFmtId="0" fontId="30" fillId="0" borderId="0" xfId="0" applyFont="1" applyBorder="1" applyAlignment="1">
      <alignment horizontal="left"/>
    </xf>
    <xf numFmtId="9" fontId="86" fillId="0" borderId="1" xfId="0" applyNumberFormat="1" applyFont="1" applyFill="1" applyBorder="1"/>
    <xf numFmtId="166" fontId="39" fillId="41" borderId="0" xfId="0" applyNumberFormat="1" applyFont="1" applyFill="1"/>
    <xf numFmtId="166" fontId="39" fillId="41" borderId="1" xfId="0" applyNumberFormat="1" applyFont="1" applyFill="1" applyBorder="1"/>
    <xf numFmtId="166" fontId="8" fillId="41" borderId="0" xfId="0" applyNumberFormat="1" applyFont="1" applyFill="1"/>
    <xf numFmtId="166" fontId="8" fillId="41" borderId="1" xfId="0" applyNumberFormat="1" applyFont="1" applyFill="1" applyBorder="1"/>
    <xf numFmtId="166" fontId="30" fillId="0" borderId="9" xfId="1" applyNumberFormat="1" applyFont="1" applyFill="1" applyBorder="1"/>
    <xf numFmtId="166" fontId="30" fillId="0" borderId="12" xfId="1" applyNumberFormat="1" applyFont="1" applyFill="1" applyBorder="1"/>
    <xf numFmtId="0" fontId="2" fillId="0" borderId="0" xfId="0" applyFont="1" applyFill="1" applyAlignment="1">
      <alignment horizontal="center"/>
    </xf>
    <xf numFmtId="166" fontId="86" fillId="5" borderId="1" xfId="0" applyNumberFormat="1" applyFont="1" applyFill="1" applyBorder="1"/>
    <xf numFmtId="0" fontId="0" fillId="0" borderId="0" xfId="0" applyBorder="1" applyAlignment="1">
      <alignment horizontal="center"/>
    </xf>
    <xf numFmtId="166" fontId="30" fillId="0" borderId="16" xfId="1" applyNumberFormat="1" applyFont="1" applyFill="1" applyBorder="1"/>
    <xf numFmtId="166" fontId="2" fillId="0" borderId="14" xfId="1" applyNumberFormat="1" applyFont="1" applyFill="1" applyBorder="1"/>
    <xf numFmtId="0" fontId="24" fillId="0" borderId="0" xfId="0" applyFont="1" applyBorder="1" applyAlignment="1">
      <alignment horizontal="left" indent="1"/>
    </xf>
    <xf numFmtId="0" fontId="2" fillId="41" borderId="0" xfId="0" applyFont="1" applyFill="1" applyAlignment="1">
      <alignment horizontal="left" indent="1"/>
    </xf>
    <xf numFmtId="0" fontId="8" fillId="0" borderId="0" xfId="0" applyFont="1" applyFill="1" applyBorder="1" applyAlignment="1">
      <alignment horizontal="left" indent="2"/>
    </xf>
    <xf numFmtId="170" fontId="10" fillId="0" borderId="0" xfId="0" applyNumberFormat="1" applyFont="1" applyAlignment="1">
      <alignment horizontal="left"/>
    </xf>
    <xf numFmtId="0" fontId="12" fillId="0" borderId="0" xfId="0" applyFont="1" applyFill="1" applyBorder="1" applyAlignment="1">
      <alignment horizontal="left" indent="2"/>
    </xf>
    <xf numFmtId="4" fontId="86" fillId="0" borderId="0" xfId="0" applyNumberFormat="1" applyFont="1" applyBorder="1" applyAlignment="1">
      <alignment horizontal="right" vertical="top" wrapText="1"/>
    </xf>
    <xf numFmtId="4" fontId="86" fillId="2" borderId="0" xfId="0" applyNumberFormat="1" applyFont="1" applyFill="1" applyBorder="1" applyAlignment="1">
      <alignment horizontal="right" vertical="top" wrapText="1"/>
    </xf>
    <xf numFmtId="170" fontId="102" fillId="0" borderId="16" xfId="0" applyNumberFormat="1" applyFont="1" applyBorder="1" applyAlignment="1">
      <alignment horizontal="right"/>
    </xf>
    <xf numFmtId="0" fontId="2" fillId="0" borderId="8" xfId="0" applyFont="1" applyFill="1" applyBorder="1" applyAlignment="1">
      <alignment horizontal="left" indent="1"/>
    </xf>
    <xf numFmtId="0" fontId="0" fillId="0" borderId="0" xfId="0" applyFont="1" applyFill="1"/>
    <xf numFmtId="168" fontId="2" fillId="0" borderId="0" xfId="0" applyNumberFormat="1" applyFont="1" applyFill="1"/>
    <xf numFmtId="17" fontId="30" fillId="0" borderId="1" xfId="0" applyNumberFormat="1" applyFont="1" applyBorder="1" applyAlignment="1">
      <alignment horizontal="left"/>
    </xf>
    <xf numFmtId="17" fontId="2" fillId="0" borderId="1" xfId="0" applyNumberFormat="1" applyFont="1" applyBorder="1" applyAlignment="1">
      <alignment horizontal="right"/>
    </xf>
    <xf numFmtId="17" fontId="2" fillId="0" borderId="1" xfId="0" applyNumberFormat="1" applyFont="1" applyFill="1" applyBorder="1" applyAlignment="1">
      <alignment horizontal="right"/>
    </xf>
    <xf numFmtId="0" fontId="39" fillId="0" borderId="0" xfId="0" applyFont="1" applyFill="1" applyBorder="1" applyAlignment="1">
      <alignment horizontal="left" indent="1"/>
    </xf>
    <xf numFmtId="0" fontId="109" fillId="0" borderId="0" xfId="0" applyFont="1" applyFill="1" applyBorder="1"/>
    <xf numFmtId="0" fontId="163" fillId="0" borderId="0" xfId="0" applyFont="1" applyFill="1" applyBorder="1" applyAlignment="1">
      <alignment horizontal="left" indent="1"/>
    </xf>
    <xf numFmtId="0" fontId="86" fillId="0" borderId="0" xfId="0" applyFont="1" applyFill="1" applyBorder="1" applyAlignment="1">
      <alignment horizontal="left"/>
    </xf>
    <xf numFmtId="10" fontId="2" fillId="0" borderId="0" xfId="2" applyNumberFormat="1" applyFont="1" applyFill="1"/>
    <xf numFmtId="17" fontId="2" fillId="0" borderId="0" xfId="0" applyNumberFormat="1" applyFont="1" applyBorder="1" applyAlignment="1">
      <alignment horizontal="left"/>
    </xf>
    <xf numFmtId="17" fontId="2" fillId="0" borderId="4" xfId="0" applyNumberFormat="1" applyFont="1" applyBorder="1" applyAlignment="1">
      <alignment horizontal="left"/>
    </xf>
    <xf numFmtId="180" fontId="137" fillId="0" borderId="0" xfId="0" applyNumberFormat="1" applyFont="1" applyFill="1" applyBorder="1" applyAlignment="1">
      <alignment horizontal="center"/>
    </xf>
    <xf numFmtId="0" fontId="8" fillId="0" borderId="0" xfId="0" applyFont="1" applyFill="1" applyBorder="1" applyAlignment="1">
      <alignment horizontal="right"/>
    </xf>
    <xf numFmtId="18" fontId="8" fillId="0" borderId="0" xfId="0" applyNumberFormat="1" applyFont="1" applyFill="1" applyBorder="1"/>
    <xf numFmtId="188" fontId="86" fillId="0" borderId="0" xfId="0" applyNumberFormat="1" applyFont="1" applyAlignment="1">
      <alignment horizontal="left" vertical="top" wrapText="1"/>
    </xf>
    <xf numFmtId="0" fontId="8" fillId="0" borderId="13" xfId="0" applyFont="1" applyBorder="1"/>
    <xf numFmtId="0" fontId="162" fillId="0" borderId="1" xfId="0" applyFont="1" applyBorder="1"/>
    <xf numFmtId="179" fontId="30" fillId="0" borderId="0" xfId="0" applyNumberFormat="1" applyFont="1"/>
    <xf numFmtId="4" fontId="30" fillId="0" borderId="0" xfId="0" applyNumberFormat="1" applyFont="1"/>
    <xf numFmtId="179" fontId="2" fillId="0" borderId="0" xfId="0" applyNumberFormat="1" applyFont="1"/>
    <xf numFmtId="2" fontId="13" fillId="0" borderId="0" xfId="0" applyNumberFormat="1" applyFont="1"/>
    <xf numFmtId="2" fontId="151" fillId="0" borderId="0" xfId="0" applyNumberFormat="1" applyFont="1"/>
    <xf numFmtId="2" fontId="24" fillId="0" borderId="0" xfId="0" applyNumberFormat="1" applyFont="1"/>
    <xf numFmtId="0" fontId="100" fillId="0" borderId="1" xfId="0" applyFont="1" applyBorder="1"/>
    <xf numFmtId="0" fontId="164" fillId="0" borderId="0" xfId="0" applyFont="1"/>
    <xf numFmtId="14" fontId="0" fillId="0" borderId="1" xfId="0" applyNumberFormat="1" applyBorder="1"/>
    <xf numFmtId="2" fontId="0" fillId="0" borderId="1" xfId="0" applyNumberFormat="1" applyBorder="1"/>
    <xf numFmtId="0" fontId="36" fillId="0" borderId="0" xfId="0" applyFont="1" applyFill="1" applyBorder="1"/>
    <xf numFmtId="0" fontId="113" fillId="0" borderId="0" xfId="0" applyFont="1" applyFill="1" applyBorder="1"/>
    <xf numFmtId="0" fontId="33" fillId="0" borderId="0" xfId="0" applyFont="1" applyAlignment="1">
      <alignment horizontal="center"/>
    </xf>
    <xf numFmtId="9" fontId="85" fillId="3" borderId="1" xfId="2" applyFont="1" applyFill="1" applyBorder="1"/>
    <xf numFmtId="0" fontId="30" fillId="3" borderId="0" xfId="0" applyFont="1" applyFill="1" applyBorder="1"/>
    <xf numFmtId="16" fontId="2" fillId="0" borderId="1" xfId="0" applyNumberFormat="1" applyFont="1" applyBorder="1"/>
    <xf numFmtId="2" fontId="5" fillId="0" borderId="1" xfId="0" applyNumberFormat="1" applyFont="1" applyBorder="1"/>
    <xf numFmtId="2" fontId="13" fillId="0" borderId="1" xfId="0" applyNumberFormat="1" applyFont="1" applyBorder="1"/>
    <xf numFmtId="0" fontId="2" fillId="0" borderId="0" xfId="0" applyFont="1" applyFill="1" applyBorder="1" applyAlignment="1">
      <alignment horizontal="left" indent="1"/>
    </xf>
    <xf numFmtId="170" fontId="102" fillId="2" borderId="16" xfId="0" applyNumberFormat="1" applyFont="1" applyFill="1" applyBorder="1"/>
    <xf numFmtId="166" fontId="2" fillId="0" borderId="6" xfId="1" applyNumberFormat="1" applyFont="1" applyFill="1" applyBorder="1" applyAlignment="1">
      <alignment horizontal="right"/>
    </xf>
    <xf numFmtId="166" fontId="2" fillId="0" borderId="4" xfId="1" applyNumberFormat="1" applyFont="1" applyFill="1" applyBorder="1" applyAlignment="1">
      <alignment horizontal="right"/>
    </xf>
    <xf numFmtId="166" fontId="2" fillId="0" borderId="3" xfId="1" applyNumberFormat="1" applyFont="1" applyFill="1" applyBorder="1" applyAlignment="1">
      <alignment horizontal="right"/>
    </xf>
    <xf numFmtId="0" fontId="5" fillId="6" borderId="1" xfId="0" applyFont="1" applyFill="1" applyBorder="1" applyAlignment="1">
      <alignment horizontal="center"/>
    </xf>
    <xf numFmtId="166" fontId="30" fillId="0" borderId="1" xfId="1" applyNumberFormat="1" applyFont="1" applyBorder="1"/>
    <xf numFmtId="0" fontId="112" fillId="4" borderId="0" xfId="0" applyFont="1" applyFill="1"/>
    <xf numFmtId="166" fontId="2" fillId="3" borderId="5" xfId="1" applyNumberFormat="1" applyFont="1" applyFill="1" applyBorder="1"/>
    <xf numFmtId="166" fontId="2" fillId="3" borderId="6" xfId="1" applyNumberFormat="1" applyFont="1" applyFill="1" applyBorder="1"/>
    <xf numFmtId="166" fontId="2" fillId="3" borderId="4" xfId="1" applyNumberFormat="1" applyFont="1" applyFill="1" applyBorder="1"/>
    <xf numFmtId="166" fontId="2" fillId="3" borderId="3" xfId="1" applyNumberFormat="1" applyFont="1" applyFill="1" applyBorder="1"/>
    <xf numFmtId="166" fontId="85" fillId="5" borderId="0" xfId="0" applyNumberFormat="1" applyFont="1" applyFill="1" applyBorder="1"/>
    <xf numFmtId="166" fontId="85" fillId="0" borderId="0" xfId="0" applyNumberFormat="1" applyFont="1" applyFill="1" applyBorder="1"/>
    <xf numFmtId="166" fontId="2" fillId="2" borderId="0" xfId="1" applyNumberFormat="1" applyFont="1" applyFill="1" applyBorder="1" applyAlignment="1"/>
    <xf numFmtId="0" fontId="2" fillId="2" borderId="0" xfId="0" applyFont="1" applyFill="1" applyAlignment="1"/>
    <xf numFmtId="9" fontId="85" fillId="3" borderId="16" xfId="2" applyFont="1" applyFill="1" applyBorder="1"/>
    <xf numFmtId="0" fontId="17" fillId="0" borderId="0" xfId="0" applyFont="1" applyFill="1"/>
    <xf numFmtId="166" fontId="85" fillId="0" borderId="0" xfId="0" applyNumberFormat="1" applyFont="1" applyAlignment="1">
      <alignment horizontal="right"/>
    </xf>
    <xf numFmtId="0" fontId="99" fillId="0" borderId="0" xfId="0" applyFont="1" applyFill="1" applyBorder="1"/>
    <xf numFmtId="17" fontId="37" fillId="0" borderId="0" xfId="0" applyNumberFormat="1" applyFont="1" applyAlignment="1">
      <alignment horizontal="center"/>
    </xf>
    <xf numFmtId="0" fontId="101" fillId="10" borderId="6" xfId="0" applyFont="1" applyFill="1" applyBorder="1" applyAlignment="1">
      <alignment horizontal="center"/>
    </xf>
    <xf numFmtId="0" fontId="101" fillId="10" borderId="4" xfId="0" applyFont="1" applyFill="1" applyBorder="1" applyAlignment="1">
      <alignment horizontal="center"/>
    </xf>
    <xf numFmtId="0" fontId="101" fillId="10" borderId="3" xfId="0" applyFont="1" applyFill="1" applyBorder="1" applyAlignment="1">
      <alignment horizontal="center"/>
    </xf>
    <xf numFmtId="0" fontId="155" fillId="0" borderId="0" xfId="0" applyFont="1" applyFill="1" applyBorder="1" applyAlignment="1">
      <alignment horizontal="center"/>
    </xf>
    <xf numFmtId="166" fontId="2" fillId="0" borderId="10" xfId="1" applyNumberFormat="1" applyFont="1" applyBorder="1" applyAlignment="1">
      <alignment horizontal="center"/>
    </xf>
    <xf numFmtId="166" fontId="2" fillId="0" borderId="7" xfId="1" applyNumberFormat="1" applyFont="1" applyBorder="1" applyAlignment="1">
      <alignment horizontal="center"/>
    </xf>
    <xf numFmtId="166" fontId="2" fillId="0" borderId="11" xfId="1" applyNumberFormat="1" applyFont="1" applyBorder="1" applyAlignment="1">
      <alignment horizontal="center"/>
    </xf>
    <xf numFmtId="0" fontId="70" fillId="4" borderId="4" xfId="0" applyFont="1" applyFill="1" applyBorder="1" applyAlignment="1">
      <alignment horizontal="left"/>
    </xf>
    <xf numFmtId="0" fontId="24" fillId="0" borderId="0" xfId="0" applyFont="1" applyFill="1" applyAlignment="1">
      <alignment horizontal="left"/>
    </xf>
    <xf numFmtId="166" fontId="2" fillId="0" borderId="1" xfId="1" applyNumberFormat="1" applyFont="1" applyFill="1" applyBorder="1" applyAlignment="1">
      <alignment horizontal="center"/>
    </xf>
    <xf numFmtId="22" fontId="10" fillId="0" borderId="10" xfId="0" applyNumberFormat="1" applyFont="1" applyBorder="1" applyAlignment="1">
      <alignment horizontal="center"/>
    </xf>
    <xf numFmtId="22" fontId="10" fillId="0" borderId="7" xfId="0" applyNumberFormat="1" applyFont="1" applyBorder="1" applyAlignment="1">
      <alignment horizontal="center"/>
    </xf>
    <xf numFmtId="166" fontId="2" fillId="0" borderId="10" xfId="1" applyNumberFormat="1" applyFont="1" applyFill="1" applyBorder="1" applyAlignment="1">
      <alignment horizontal="center"/>
    </xf>
    <xf numFmtId="166" fontId="2" fillId="0" borderId="11" xfId="1" applyNumberFormat="1" applyFont="1" applyFill="1" applyBorder="1" applyAlignment="1">
      <alignment horizontal="center"/>
    </xf>
    <xf numFmtId="0" fontId="70" fillId="4" borderId="1" xfId="0" applyFont="1" applyFill="1" applyBorder="1" applyAlignment="1">
      <alignment horizontal="left"/>
    </xf>
    <xf numFmtId="0" fontId="155" fillId="0" borderId="8" xfId="0" applyFont="1" applyBorder="1" applyAlignment="1">
      <alignment horizontal="center"/>
    </xf>
    <xf numFmtId="0" fontId="155" fillId="0" borderId="13" xfId="0" applyFont="1" applyBorder="1" applyAlignment="1">
      <alignment horizontal="center"/>
    </xf>
    <xf numFmtId="0" fontId="155" fillId="0" borderId="0" xfId="0" applyFont="1" applyBorder="1" applyAlignment="1">
      <alignment horizontal="center"/>
    </xf>
    <xf numFmtId="0" fontId="2" fillId="0" borderId="0" xfId="0" applyFont="1" applyAlignment="1">
      <alignment horizontal="left"/>
    </xf>
    <xf numFmtId="0" fontId="17" fillId="4" borderId="0" xfId="0" applyFont="1" applyFill="1" applyAlignment="1">
      <alignment horizontal="left"/>
    </xf>
    <xf numFmtId="22" fontId="39" fillId="0" borderId="0" xfId="0" applyNumberFormat="1" applyFont="1" applyAlignment="1">
      <alignment horizontal="left"/>
    </xf>
    <xf numFmtId="0" fontId="88" fillId="0" borderId="0" xfId="0" applyFont="1" applyBorder="1" applyAlignment="1">
      <alignment horizontal="center"/>
    </xf>
    <xf numFmtId="0" fontId="30" fillId="0" borderId="0" xfId="0" applyFont="1" applyAlignment="1">
      <alignment horizontal="left"/>
    </xf>
    <xf numFmtId="180" fontId="105" fillId="0" borderId="0" xfId="0" applyNumberFormat="1" applyFont="1" applyAlignment="1">
      <alignment horizontal="center"/>
    </xf>
    <xf numFmtId="0" fontId="101" fillId="0" borderId="7" xfId="0" applyFont="1" applyBorder="1" applyAlignment="1">
      <alignment horizontal="center"/>
    </xf>
    <xf numFmtId="0" fontId="101" fillId="0" borderId="0" xfId="0" applyFont="1" applyAlignment="1">
      <alignment horizontal="center"/>
    </xf>
    <xf numFmtId="0" fontId="88" fillId="0" borderId="10" xfId="0" applyFont="1" applyBorder="1" applyAlignment="1">
      <alignment horizontal="center"/>
    </xf>
    <xf numFmtId="0" fontId="88" fillId="0" borderId="7" xfId="0" applyFont="1" applyBorder="1" applyAlignment="1">
      <alignment horizontal="center"/>
    </xf>
    <xf numFmtId="22" fontId="24" fillId="0" borderId="7" xfId="0" applyNumberFormat="1" applyFont="1" applyBorder="1" applyAlignment="1">
      <alignment horizontal="center"/>
    </xf>
    <xf numFmtId="166" fontId="41" fillId="0" borderId="0" xfId="1" applyNumberFormat="1" applyFont="1" applyFill="1" applyBorder="1" applyAlignment="1">
      <alignment horizontal="left"/>
    </xf>
    <xf numFmtId="0" fontId="139" fillId="4" borderId="0" xfId="0" applyFont="1" applyFill="1" applyAlignment="1">
      <alignment horizontal="left"/>
    </xf>
    <xf numFmtId="0" fontId="88" fillId="0" borderId="0" xfId="0" applyFont="1" applyFill="1" applyBorder="1" applyAlignment="1">
      <alignment horizontal="center"/>
    </xf>
    <xf numFmtId="166" fontId="2" fillId="5" borderId="6" xfId="1" applyNumberFormat="1" applyFont="1" applyFill="1" applyBorder="1" applyAlignment="1">
      <alignment horizontal="center"/>
    </xf>
    <xf numFmtId="166" fontId="2" fillId="5" borderId="4" xfId="1" applyNumberFormat="1" applyFont="1" applyFill="1" applyBorder="1" applyAlignment="1">
      <alignment horizontal="center"/>
    </xf>
    <xf numFmtId="166" fontId="2" fillId="5" borderId="3" xfId="1" applyNumberFormat="1" applyFont="1" applyFill="1" applyBorder="1" applyAlignment="1">
      <alignment horizontal="center"/>
    </xf>
    <xf numFmtId="22" fontId="24" fillId="0" borderId="0" xfId="0" applyNumberFormat="1" applyFont="1" applyAlignment="1">
      <alignment horizontal="center"/>
    </xf>
    <xf numFmtId="0" fontId="30" fillId="0" borderId="0" xfId="0" applyFont="1" applyFill="1" applyBorder="1" applyAlignment="1">
      <alignment horizontal="left"/>
    </xf>
    <xf numFmtId="0" fontId="30" fillId="0" borderId="0" xfId="0" applyFont="1" applyFill="1" applyAlignment="1">
      <alignment horizontal="left"/>
    </xf>
    <xf numFmtId="0" fontId="102" fillId="39" borderId="0" xfId="0" applyFont="1" applyFill="1" applyAlignment="1">
      <alignment horizontal="left" vertical="center"/>
    </xf>
    <xf numFmtId="0" fontId="102" fillId="39" borderId="13" xfId="0" applyFont="1" applyFill="1" applyBorder="1" applyAlignment="1">
      <alignment horizontal="left" vertical="center"/>
    </xf>
    <xf numFmtId="0" fontId="88" fillId="0" borderId="8" xfId="0" applyFont="1" applyBorder="1" applyAlignment="1">
      <alignment horizontal="center"/>
    </xf>
    <xf numFmtId="0" fontId="88" fillId="0" borderId="0" xfId="0" applyFont="1" applyAlignment="1">
      <alignment horizontal="center"/>
    </xf>
    <xf numFmtId="0" fontId="102" fillId="0" borderId="0" xfId="0" applyFont="1" applyFill="1" applyBorder="1" applyAlignment="1">
      <alignment horizontal="center" vertical="center"/>
    </xf>
    <xf numFmtId="17" fontId="2" fillId="0" borderId="0" xfId="0" applyNumberFormat="1" applyFont="1" applyAlignment="1">
      <alignment horizontal="left"/>
    </xf>
    <xf numFmtId="0" fontId="2" fillId="0" borderId="0" xfId="0" applyFont="1" applyAlignment="1">
      <alignment horizontal="center"/>
    </xf>
    <xf numFmtId="0" fontId="22" fillId="0" borderId="0" xfId="0" applyFont="1" applyBorder="1" applyAlignment="1">
      <alignment horizontal="center"/>
    </xf>
    <xf numFmtId="0" fontId="102" fillId="6" borderId="6" xfId="0" applyFont="1" applyFill="1" applyBorder="1" applyAlignment="1">
      <alignment horizontal="left" vertical="center"/>
    </xf>
    <xf numFmtId="0" fontId="102" fillId="6" borderId="3" xfId="0" applyFont="1" applyFill="1" applyBorder="1" applyAlignment="1">
      <alignment horizontal="left" vertical="center"/>
    </xf>
    <xf numFmtId="0" fontId="22" fillId="0" borderId="7" xfId="0" applyFont="1" applyBorder="1" applyAlignment="1">
      <alignment horizontal="center"/>
    </xf>
    <xf numFmtId="0" fontId="138" fillId="2" borderId="0" xfId="0" applyFont="1" applyFill="1" applyBorder="1" applyAlignment="1">
      <alignment horizontal="center"/>
    </xf>
    <xf numFmtId="0" fontId="37" fillId="2" borderId="0" xfId="0" applyFont="1" applyFill="1" applyAlignment="1">
      <alignment horizontal="center"/>
    </xf>
    <xf numFmtId="22" fontId="88" fillId="0" borderId="7" xfId="0" applyNumberFormat="1" applyFont="1" applyBorder="1" applyAlignment="1">
      <alignment horizontal="center"/>
    </xf>
    <xf numFmtId="0" fontId="101" fillId="10" borderId="22" xfId="0" applyFont="1" applyFill="1" applyBorder="1" applyAlignment="1">
      <alignment horizontal="center"/>
    </xf>
    <xf numFmtId="17" fontId="37" fillId="0" borderId="0" xfId="0" applyNumberFormat="1" applyFont="1" applyAlignment="1">
      <alignment horizontal="center"/>
    </xf>
    <xf numFmtId="0" fontId="102" fillId="6" borderId="4" xfId="0" applyFont="1" applyFill="1" applyBorder="1" applyAlignment="1">
      <alignment horizontal="left" vertical="center"/>
    </xf>
    <xf numFmtId="22" fontId="10" fillId="0" borderId="7" xfId="0" applyNumberFormat="1" applyFont="1" applyFill="1" applyBorder="1" applyAlignment="1">
      <alignment horizontal="center"/>
    </xf>
    <xf numFmtId="22" fontId="10" fillId="0" borderId="11" xfId="0" applyNumberFormat="1" applyFont="1" applyFill="1" applyBorder="1" applyAlignment="1">
      <alignment horizontal="center"/>
    </xf>
    <xf numFmtId="0" fontId="101" fillId="10" borderId="6" xfId="0" applyFont="1" applyFill="1" applyBorder="1" applyAlignment="1">
      <alignment horizontal="center"/>
    </xf>
    <xf numFmtId="0" fontId="101" fillId="10" borderId="4" xfId="0" applyFont="1" applyFill="1" applyBorder="1" applyAlignment="1">
      <alignment horizontal="center"/>
    </xf>
    <xf numFmtId="0" fontId="101" fillId="10" borderId="3" xfId="0" applyFont="1" applyFill="1" applyBorder="1" applyAlignment="1">
      <alignment horizontal="center"/>
    </xf>
    <xf numFmtId="0" fontId="145" fillId="0" borderId="7" xfId="0" applyFont="1" applyFill="1" applyBorder="1" applyAlignment="1">
      <alignment horizontal="left"/>
    </xf>
    <xf numFmtId="0" fontId="76" fillId="0" borderId="6" xfId="20" applyFont="1" applyFill="1" applyBorder="1" applyAlignment="1">
      <alignment horizontal="center"/>
    </xf>
    <xf numFmtId="0" fontId="76" fillId="0" borderId="4" xfId="20" applyFont="1" applyFill="1" applyBorder="1" applyAlignment="1">
      <alignment horizontal="center"/>
    </xf>
    <xf numFmtId="0" fontId="76" fillId="0" borderId="3" xfId="20" applyFont="1" applyFill="1" applyBorder="1" applyAlignment="1">
      <alignment horizontal="center"/>
    </xf>
    <xf numFmtId="0" fontId="155" fillId="0" borderId="0" xfId="0" applyFont="1" applyFill="1" applyBorder="1" applyAlignment="1">
      <alignment horizontal="center"/>
    </xf>
    <xf numFmtId="0" fontId="101" fillId="10" borderId="6" xfId="0" applyFont="1" applyFill="1" applyBorder="1" applyAlignment="1">
      <alignment horizontal="right"/>
    </xf>
    <xf numFmtId="0" fontId="101" fillId="10" borderId="4" xfId="0" applyFont="1" applyFill="1" applyBorder="1" applyAlignment="1">
      <alignment horizontal="right"/>
    </xf>
    <xf numFmtId="0" fontId="101" fillId="10" borderId="3" xfId="0" applyFont="1" applyFill="1" applyBorder="1" applyAlignment="1">
      <alignment horizontal="right"/>
    </xf>
    <xf numFmtId="0" fontId="138" fillId="10" borderId="6" xfId="0" applyFont="1" applyFill="1" applyBorder="1" applyAlignment="1">
      <alignment horizontal="right"/>
    </xf>
    <xf numFmtId="0" fontId="138" fillId="10" borderId="4" xfId="0" applyFont="1" applyFill="1" applyBorder="1" applyAlignment="1">
      <alignment horizontal="right"/>
    </xf>
    <xf numFmtId="0" fontId="138" fillId="10" borderId="3" xfId="0" applyFont="1" applyFill="1" applyBorder="1" applyAlignment="1">
      <alignment horizontal="right"/>
    </xf>
    <xf numFmtId="0" fontId="138" fillId="10" borderId="23" xfId="0" applyFont="1" applyFill="1" applyBorder="1" applyAlignment="1">
      <alignment horizontal="right"/>
    </xf>
    <xf numFmtId="0" fontId="138" fillId="10" borderId="24" xfId="0" applyFont="1" applyFill="1" applyBorder="1" applyAlignment="1">
      <alignment horizontal="right"/>
    </xf>
    <xf numFmtId="0" fontId="138" fillId="10" borderId="25" xfId="0" applyFont="1" applyFill="1" applyBorder="1" applyAlignment="1">
      <alignment horizontal="right"/>
    </xf>
    <xf numFmtId="0" fontId="138" fillId="6" borderId="6" xfId="0" applyFont="1" applyFill="1" applyBorder="1" applyAlignment="1">
      <alignment horizontal="right"/>
    </xf>
    <xf numFmtId="0" fontId="138" fillId="6" borderId="4" xfId="0" applyFont="1" applyFill="1" applyBorder="1" applyAlignment="1">
      <alignment horizontal="right"/>
    </xf>
    <xf numFmtId="0" fontId="138" fillId="6" borderId="3" xfId="0" applyFont="1" applyFill="1" applyBorder="1" applyAlignment="1">
      <alignment horizontal="right"/>
    </xf>
    <xf numFmtId="170" fontId="102" fillId="10" borderId="6" xfId="0" applyNumberFormat="1" applyFont="1" applyFill="1" applyBorder="1" applyAlignment="1">
      <alignment horizontal="right"/>
    </xf>
    <xf numFmtId="170" fontId="102" fillId="10" borderId="4" xfId="0" applyNumberFormat="1" applyFont="1" applyFill="1" applyBorder="1" applyAlignment="1">
      <alignment horizontal="right"/>
    </xf>
    <xf numFmtId="170" fontId="102" fillId="10" borderId="3" xfId="0" applyNumberFormat="1" applyFont="1" applyFill="1" applyBorder="1" applyAlignment="1">
      <alignment horizontal="right"/>
    </xf>
    <xf numFmtId="0" fontId="101" fillId="10" borderId="9" xfId="0" applyFont="1" applyFill="1" applyBorder="1" applyAlignment="1">
      <alignment horizontal="right"/>
    </xf>
    <xf numFmtId="0" fontId="101" fillId="10" borderId="1" xfId="0" applyFont="1" applyFill="1" applyBorder="1" applyAlignment="1">
      <alignment horizontal="right"/>
    </xf>
    <xf numFmtId="0" fontId="101" fillId="10" borderId="12" xfId="0" applyFont="1" applyFill="1" applyBorder="1" applyAlignment="1">
      <alignment horizontal="right"/>
    </xf>
    <xf numFmtId="0" fontId="101" fillId="10" borderId="0" xfId="0" applyFont="1" applyFill="1" applyBorder="1" applyAlignment="1">
      <alignment horizontal="right"/>
    </xf>
    <xf numFmtId="0" fontId="101" fillId="10" borderId="13" xfId="0" applyFont="1" applyFill="1" applyBorder="1" applyAlignment="1">
      <alignment horizontal="right"/>
    </xf>
    <xf numFmtId="0" fontId="101" fillId="10" borderId="7" xfId="0" applyFont="1" applyFill="1" applyBorder="1" applyAlignment="1">
      <alignment horizontal="right"/>
    </xf>
    <xf numFmtId="0" fontId="101" fillId="10" borderId="11" xfId="0" applyFont="1" applyFill="1" applyBorder="1" applyAlignment="1">
      <alignment horizontal="right"/>
    </xf>
    <xf numFmtId="0" fontId="88" fillId="0" borderId="10" xfId="0" applyFont="1" applyBorder="1" applyAlignment="1">
      <alignment horizontal="center"/>
    </xf>
    <xf numFmtId="0" fontId="88" fillId="0" borderId="7" xfId="0" applyFont="1" applyBorder="1" applyAlignment="1">
      <alignment horizontal="center"/>
    </xf>
    <xf numFmtId="22" fontId="24" fillId="0" borderId="7" xfId="0" applyNumberFormat="1" applyFont="1" applyBorder="1" applyAlignment="1">
      <alignment horizontal="center"/>
    </xf>
    <xf numFmtId="0" fontId="139" fillId="4" borderId="0" xfId="0" applyFont="1" applyFill="1" applyAlignment="1">
      <alignment horizontal="left"/>
    </xf>
    <xf numFmtId="0" fontId="88" fillId="0" borderId="0" xfId="0" applyFont="1" applyFill="1" applyBorder="1" applyAlignment="1">
      <alignment horizontal="center"/>
    </xf>
    <xf numFmtId="0" fontId="101" fillId="0" borderId="7" xfId="0" applyFont="1" applyBorder="1" applyAlignment="1">
      <alignment horizontal="center"/>
    </xf>
    <xf numFmtId="180" fontId="105" fillId="0" borderId="0" xfId="0" applyNumberFormat="1" applyFont="1" applyAlignment="1">
      <alignment horizontal="center"/>
    </xf>
    <xf numFmtId="0" fontId="102" fillId="6" borderId="6" xfId="0" applyFont="1" applyFill="1" applyBorder="1" applyAlignment="1">
      <alignment horizontal="center" vertical="center"/>
    </xf>
    <xf numFmtId="0" fontId="102" fillId="6" borderId="4" xfId="0" applyFont="1" applyFill="1" applyBorder="1" applyAlignment="1">
      <alignment horizontal="center" vertical="center"/>
    </xf>
    <xf numFmtId="0" fontId="102" fillId="6" borderId="3" xfId="0" applyFont="1" applyFill="1" applyBorder="1" applyAlignment="1">
      <alignment horizontal="center" vertical="center"/>
    </xf>
    <xf numFmtId="0" fontId="101" fillId="6" borderId="6" xfId="0" applyFont="1" applyFill="1" applyBorder="1" applyAlignment="1">
      <alignment horizontal="right"/>
    </xf>
    <xf numFmtId="0" fontId="101" fillId="6" borderId="4" xfId="0" applyFont="1" applyFill="1" applyBorder="1" applyAlignment="1">
      <alignment horizontal="right"/>
    </xf>
    <xf numFmtId="0" fontId="101" fillId="6" borderId="3" xfId="0" applyFont="1" applyFill="1" applyBorder="1" applyAlignment="1">
      <alignment horizontal="right"/>
    </xf>
    <xf numFmtId="0" fontId="88" fillId="0" borderId="0" xfId="0" applyFont="1" applyBorder="1" applyAlignment="1">
      <alignment horizontal="center"/>
    </xf>
    <xf numFmtId="0" fontId="102" fillId="0" borderId="0" xfId="0" applyFont="1" applyFill="1" applyBorder="1" applyAlignment="1">
      <alignment horizontal="center" vertical="center"/>
    </xf>
    <xf numFmtId="22" fontId="10" fillId="0" borderId="10" xfId="0" applyNumberFormat="1" applyFont="1" applyBorder="1" applyAlignment="1">
      <alignment horizontal="center"/>
    </xf>
    <xf numFmtId="22" fontId="10" fillId="0" borderId="7" xfId="0" applyNumberFormat="1" applyFont="1" applyBorder="1" applyAlignment="1">
      <alignment horizontal="center"/>
    </xf>
    <xf numFmtId="22" fontId="24" fillId="0" borderId="0" xfId="0" applyNumberFormat="1" applyFont="1" applyBorder="1" applyAlignment="1">
      <alignment horizontal="center"/>
    </xf>
    <xf numFmtId="0" fontId="102" fillId="0" borderId="7" xfId="0" applyFont="1" applyFill="1" applyBorder="1" applyAlignment="1">
      <alignment horizontal="left" vertical="center"/>
    </xf>
    <xf numFmtId="22" fontId="8" fillId="0" borderId="7" xfId="0" applyNumberFormat="1" applyFont="1" applyFill="1" applyBorder="1" applyAlignment="1">
      <alignment horizontal="center"/>
    </xf>
    <xf numFmtId="0" fontId="101" fillId="6" borderId="1" xfId="0" applyFont="1" applyFill="1" applyBorder="1" applyAlignment="1">
      <alignment horizontal="right"/>
    </xf>
    <xf numFmtId="0" fontId="101" fillId="6" borderId="12" xfId="0" applyFont="1" applyFill="1" applyBorder="1" applyAlignment="1">
      <alignment horizontal="right"/>
    </xf>
    <xf numFmtId="0" fontId="155" fillId="0" borderId="7" xfId="0" applyFont="1" applyFill="1" applyBorder="1" applyAlignment="1">
      <alignment horizontal="center"/>
    </xf>
    <xf numFmtId="0" fontId="155" fillId="0" borderId="11" xfId="0" applyFont="1" applyFill="1" applyBorder="1" applyAlignment="1">
      <alignment horizontal="center"/>
    </xf>
    <xf numFmtId="17" fontId="2" fillId="0" borderId="0" xfId="0" applyNumberFormat="1" applyFont="1" applyAlignment="1">
      <alignment horizontal="left"/>
    </xf>
    <xf numFmtId="0" fontId="126" fillId="0" borderId="0" xfId="0" applyFont="1" applyFill="1" applyAlignment="1">
      <alignment horizontal="center"/>
    </xf>
    <xf numFmtId="0" fontId="37" fillId="10" borderId="6" xfId="0" applyFont="1" applyFill="1" applyBorder="1" applyAlignment="1">
      <alignment horizontal="center"/>
    </xf>
    <xf numFmtId="0" fontId="37" fillId="10" borderId="4" xfId="0" applyFont="1" applyFill="1" applyBorder="1" applyAlignment="1">
      <alignment horizontal="center"/>
    </xf>
    <xf numFmtId="0" fontId="37" fillId="10" borderId="3" xfId="0" applyFont="1" applyFill="1" applyBorder="1" applyAlignment="1">
      <alignment horizontal="center"/>
    </xf>
    <xf numFmtId="0" fontId="88" fillId="0" borderId="6" xfId="0" applyFont="1" applyBorder="1" applyAlignment="1">
      <alignment horizontal="center"/>
    </xf>
    <xf numFmtId="0" fontId="88" fillId="0" borderId="4" xfId="0" applyFont="1" applyBorder="1" applyAlignment="1">
      <alignment horizontal="center"/>
    </xf>
    <xf numFmtId="0" fontId="88" fillId="0" borderId="3" xfId="0" applyFont="1" applyBorder="1" applyAlignment="1">
      <alignment horizontal="center"/>
    </xf>
    <xf numFmtId="22" fontId="24" fillId="0" borderId="10" xfId="0" applyNumberFormat="1" applyFont="1" applyBorder="1" applyAlignment="1">
      <alignment horizontal="center"/>
    </xf>
    <xf numFmtId="0" fontId="58" fillId="0" borderId="0" xfId="0" applyFont="1" applyAlignment="1">
      <alignment horizontal="center"/>
    </xf>
    <xf numFmtId="22" fontId="24" fillId="0" borderId="8" xfId="0" applyNumberFormat="1" applyFont="1" applyBorder="1" applyAlignment="1">
      <alignment horizontal="center"/>
    </xf>
    <xf numFmtId="22" fontId="24" fillId="0" borderId="0" xfId="0" applyNumberFormat="1" applyFont="1" applyAlignment="1">
      <alignment horizontal="center"/>
    </xf>
    <xf numFmtId="0" fontId="86" fillId="0" borderId="0" xfId="0" applyFont="1" applyBorder="1" applyAlignment="1">
      <alignment horizontal="center"/>
    </xf>
    <xf numFmtId="22" fontId="10" fillId="0" borderId="7" xfId="0" applyNumberFormat="1" applyFont="1" applyFill="1" applyBorder="1" applyAlignment="1">
      <alignment horizontal="right"/>
    </xf>
    <xf numFmtId="22" fontId="10" fillId="0" borderId="8" xfId="0" applyNumberFormat="1" applyFont="1" applyBorder="1" applyAlignment="1">
      <alignment horizontal="right"/>
    </xf>
    <xf numFmtId="22" fontId="10" fillId="0" borderId="13" xfId="0" applyNumberFormat="1" applyFont="1" applyBorder="1" applyAlignment="1">
      <alignment horizontal="right"/>
    </xf>
    <xf numFmtId="0" fontId="101" fillId="6" borderId="9" xfId="0" applyFont="1" applyFill="1" applyBorder="1" applyAlignment="1">
      <alignment horizontal="right"/>
    </xf>
    <xf numFmtId="0" fontId="101" fillId="6" borderId="0" xfId="0" applyFont="1" applyFill="1" applyAlignment="1">
      <alignment horizontal="right"/>
    </xf>
    <xf numFmtId="0" fontId="101" fillId="6" borderId="13" xfId="0" applyFont="1" applyFill="1" applyBorder="1" applyAlignment="1">
      <alignment horizontal="right"/>
    </xf>
    <xf numFmtId="189" fontId="24" fillId="0" borderId="7" xfId="0" applyNumberFormat="1" applyFont="1" applyBorder="1" applyAlignment="1">
      <alignment horizontal="center"/>
    </xf>
    <xf numFmtId="0" fontId="88" fillId="24" borderId="0" xfId="0" applyFont="1" applyFill="1" applyAlignment="1">
      <alignment horizontal="center" vertical="center"/>
    </xf>
    <xf numFmtId="180" fontId="105" fillId="5" borderId="0" xfId="0" applyNumberFormat="1" applyFont="1" applyFill="1" applyAlignment="1">
      <alignment horizontal="center"/>
    </xf>
    <xf numFmtId="0" fontId="101" fillId="17" borderId="7" xfId="0" applyFont="1" applyFill="1" applyBorder="1" applyAlignment="1">
      <alignment horizontal="center"/>
    </xf>
    <xf numFmtId="180" fontId="105" fillId="5" borderId="7" xfId="0" applyNumberFormat="1" applyFont="1" applyFill="1" applyBorder="1" applyAlignment="1">
      <alignment horizontal="center"/>
    </xf>
    <xf numFmtId="0" fontId="118" fillId="4" borderId="0" xfId="0" applyFont="1" applyFill="1" applyAlignment="1">
      <alignment horizontal="left"/>
    </xf>
    <xf numFmtId="0" fontId="101" fillId="0" borderId="0" xfId="0" applyFont="1" applyAlignment="1">
      <alignment horizontal="right"/>
    </xf>
    <xf numFmtId="0" fontId="89" fillId="39" borderId="0" xfId="0" applyFont="1" applyFill="1" applyAlignment="1">
      <alignment horizontal="left" vertical="center"/>
    </xf>
    <xf numFmtId="0" fontId="115" fillId="0" borderId="7" xfId="0" applyFont="1" applyBorder="1" applyAlignment="1">
      <alignment horizontal="center"/>
    </xf>
    <xf numFmtId="0" fontId="89" fillId="39" borderId="10" xfId="0" applyFont="1" applyFill="1" applyBorder="1" applyAlignment="1">
      <alignment horizontal="left" vertical="center"/>
    </xf>
    <xf numFmtId="0" fontId="89" fillId="39" borderId="7" xfId="0" applyFont="1" applyFill="1" applyBorder="1" applyAlignment="1">
      <alignment horizontal="left" vertical="center"/>
    </xf>
    <xf numFmtId="49" fontId="130" fillId="0" borderId="0" xfId="0" applyNumberFormat="1" applyFont="1" applyAlignment="1">
      <alignment horizontal="right" vertical="center" wrapText="1"/>
    </xf>
    <xf numFmtId="1" fontId="127" fillId="0" borderId="0" xfId="0" applyNumberFormat="1" applyFont="1" applyAlignment="1">
      <alignment horizontal="right" vertical="justify"/>
    </xf>
    <xf numFmtId="3" fontId="127" fillId="0" borderId="0" xfId="0" applyNumberFormat="1" applyFont="1" applyAlignment="1">
      <alignment horizontal="right" vertical="justify"/>
    </xf>
    <xf numFmtId="0" fontId="5" fillId="0" borderId="0" xfId="0" applyFont="1" applyAlignment="1">
      <alignment horizontal="left"/>
    </xf>
    <xf numFmtId="0" fontId="37" fillId="2" borderId="6" xfId="0" applyFont="1" applyFill="1" applyBorder="1" applyAlignment="1">
      <alignment horizontal="center"/>
    </xf>
    <xf numFmtId="0" fontId="37" fillId="2" borderId="4" xfId="0" applyFont="1" applyFill="1" applyBorder="1" applyAlignment="1">
      <alignment horizontal="center"/>
    </xf>
    <xf numFmtId="0" fontId="37" fillId="2" borderId="3" xfId="0" applyFont="1" applyFill="1" applyBorder="1" applyAlignment="1">
      <alignment horizontal="center"/>
    </xf>
    <xf numFmtId="0" fontId="0" fillId="0" borderId="8" xfId="0" applyBorder="1" applyAlignment="1">
      <alignment horizontal="center"/>
    </xf>
    <xf numFmtId="0" fontId="0" fillId="0" borderId="13" xfId="0" applyBorder="1" applyAlignment="1">
      <alignment horizontal="center"/>
    </xf>
    <xf numFmtId="22" fontId="46" fillId="0" borderId="1" xfId="0" applyNumberFormat="1" applyFont="1" applyBorder="1" applyAlignment="1">
      <alignment horizontal="left"/>
    </xf>
    <xf numFmtId="0" fontId="27" fillId="39" borderId="7" xfId="0" applyFont="1" applyFill="1" applyBorder="1" applyAlignment="1">
      <alignment horizontal="left" vertical="center"/>
    </xf>
    <xf numFmtId="0" fontId="107" fillId="0" borderId="0" xfId="0" applyFont="1" applyAlignment="1">
      <alignment horizontal="right"/>
    </xf>
    <xf numFmtId="0" fontId="101" fillId="0" borderId="1" xfId="0" applyFont="1" applyBorder="1" applyAlignment="1">
      <alignment horizontal="center"/>
    </xf>
    <xf numFmtId="0" fontId="70" fillId="4" borderId="0" xfId="0" applyFont="1" applyFill="1" applyAlignment="1">
      <alignment horizontal="left"/>
    </xf>
    <xf numFmtId="170" fontId="102" fillId="2" borderId="6" xfId="0" applyNumberFormat="1" applyFont="1" applyFill="1" applyBorder="1" applyAlignment="1">
      <alignment horizontal="right"/>
    </xf>
    <xf numFmtId="170" fontId="102" fillId="2" borderId="3" xfId="0" applyNumberFormat="1" applyFont="1" applyFill="1" applyBorder="1" applyAlignment="1">
      <alignment horizontal="right"/>
    </xf>
    <xf numFmtId="189" fontId="5" fillId="0" borderId="0" xfId="0" applyNumberFormat="1" applyFont="1" applyAlignment="1">
      <alignment horizontal="center"/>
    </xf>
    <xf numFmtId="180" fontId="104" fillId="5" borderId="0" xfId="0" applyNumberFormat="1" applyFont="1" applyFill="1" applyAlignment="1">
      <alignment horizontal="center"/>
    </xf>
    <xf numFmtId="0" fontId="27" fillId="4" borderId="0" xfId="0" applyFont="1" applyFill="1" applyAlignment="1">
      <alignment horizontal="left"/>
    </xf>
    <xf numFmtId="0" fontId="41" fillId="0" borderId="7" xfId="0" applyFont="1" applyBorder="1" applyAlignment="1">
      <alignment horizontal="center"/>
    </xf>
    <xf numFmtId="0" fontId="17" fillId="4" borderId="0" xfId="0" applyFont="1" applyFill="1" applyAlignment="1">
      <alignment horizontal="left"/>
    </xf>
    <xf numFmtId="0" fontId="76" fillId="0" borderId="0" xfId="0" applyFont="1" applyAlignment="1">
      <alignment horizontal="center"/>
    </xf>
  </cellXfs>
  <cellStyles count="21">
    <cellStyle name="Comma" xfId="1" builtinId="3"/>
    <cellStyle name="Comma 2" xfId="17" xr:uid="{00000000-0005-0000-0000-00003B000000}"/>
    <cellStyle name="Currency" xfId="12" builtinId="4"/>
    <cellStyle name="Currency 2" xfId="19" xr:uid="{00000000-0005-0000-0000-00003C000000}"/>
    <cellStyle name="Dollar" xfId="9" xr:uid="{00000000-0005-0000-0000-000002000000}"/>
    <cellStyle name="Good" xfId="16" builtinId="26"/>
    <cellStyle name="Hyperlink" xfId="20" builtinId="8"/>
    <cellStyle name="mmm" xfId="4" xr:uid="{00000000-0005-0000-0000-000003000000}"/>
    <cellStyle name="Multiple" xfId="10" xr:uid="{00000000-0005-0000-0000-000004000000}"/>
    <cellStyle name="Normal" xfId="0" builtinId="0"/>
    <cellStyle name="Normal 2" xfId="3" xr:uid="{00000000-0005-0000-0000-000006000000}"/>
    <cellStyle name="Normal 2 2" xfId="18" xr:uid="{00000000-0005-0000-0000-000006000000}"/>
    <cellStyle name="Normal 3" xfId="13" xr:uid="{00000000-0005-0000-0000-000007000000}"/>
    <cellStyle name="Normal_HB2_macro" xfId="15" xr:uid="{0318A236-88BB-43A8-9824-6FCD722C7D5F}"/>
    <cellStyle name="Percent" xfId="2" builtinId="5"/>
    <cellStyle name="Percent 2" xfId="14" xr:uid="{8EC0F756-AFBC-486D-A110-37ABD0813DAC}"/>
    <cellStyle name="Plain2Decimals" xfId="11" xr:uid="{00000000-0005-0000-0000-000009000000}"/>
    <cellStyle name="PlainDollar" xfId="5" xr:uid="{00000000-0005-0000-0000-00000A000000}"/>
    <cellStyle name="PlainDollarBoldwBorders" xfId="7" xr:uid="{00000000-0005-0000-0000-00000B000000}"/>
    <cellStyle name="PlainDollardBLUndLine" xfId="8" xr:uid="{00000000-0005-0000-0000-00000C000000}"/>
    <cellStyle name="PlainDollarUndLine" xfId="6" xr:uid="{00000000-0005-0000-0000-00000D000000}"/>
  </cellStyles>
  <dxfs count="0"/>
  <tableStyles count="0" defaultTableStyle="TableStyleMedium2" defaultPivotStyle="PivotStyleLight16"/>
  <colors>
    <mruColors>
      <color rgb="FFFFCD2F"/>
      <color rgb="FFFFCF37"/>
      <color rgb="FFFF6699"/>
      <color rgb="FF3E6EA8"/>
      <color rgb="FF0067B4"/>
      <color rgb="FF00487E"/>
      <color rgb="FF0065B0"/>
      <color rgb="FF005A9E"/>
      <color rgb="FF3366CC"/>
      <color rgb="FF4F81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FF0000"/>
            </a:solidFill>
            <a:ln w="25400" cap="flat" cmpd="sng" algn="ctr">
              <a:solidFill>
                <a:srgbClr val="0065B0"/>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FF00"/>
            </a:solidFill>
            <a:ln w="9525" cap="flat" cmpd="sng" algn="ctr">
              <a:solidFill>
                <a:srgbClr val="005A9E"/>
              </a:solid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Comp'!$B$32:$C$32</c:f>
              <c:strCache>
                <c:ptCount val="2"/>
                <c:pt idx="0">
                  <c:v>The Warehouse</c:v>
                </c:pt>
              </c:strCache>
            </c:strRef>
          </c:tx>
          <c:spPr>
            <a:solidFill>
              <a:srgbClr val="FF0000"/>
            </a:solidFill>
            <a:ln>
              <a:noFill/>
            </a:ln>
            <a:effectLst/>
          </c:spPr>
          <c:invertIfNegative val="0"/>
          <c:trendline>
            <c:spPr>
              <a:ln w="19050" cap="rnd">
                <a:solidFill>
                  <a:schemeClr val="accent2"/>
                </a:solidFill>
                <a:prstDash val="sysDot"/>
              </a:ln>
              <a:effectLst/>
            </c:spPr>
            <c:trendlineType val="linear"/>
            <c:dispRSqr val="0"/>
            <c:dispEq val="0"/>
          </c:trendline>
          <c:val>
            <c:numRef>
              <c:f>'15b-Charts Comp'!$D$32:$M$32</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Comp'!$B$33:$C$33</c:f>
              <c:strCache>
                <c:ptCount val="2"/>
                <c:pt idx="0">
                  <c:v>Briscoe</c:v>
                </c:pt>
                <c:pt idx="1">
                  <c:v>$m</c:v>
                </c:pt>
              </c:strCache>
            </c:strRef>
          </c:tx>
          <c:spPr>
            <a:solidFill>
              <a:srgbClr val="0070C0"/>
            </a:solidFill>
            <a:ln>
              <a:noFill/>
            </a:ln>
            <a:effectLst/>
          </c:spPr>
          <c:invertIfNegative val="0"/>
          <c:trendline>
            <c:spPr>
              <a:ln w="19050" cap="rnd">
                <a:solidFill>
                  <a:schemeClr val="accent4"/>
                </a:solidFill>
                <a:prstDash val="sysDot"/>
              </a:ln>
              <a:effectLst/>
            </c:spPr>
            <c:trendlineType val="linear"/>
            <c:dispRSqr val="0"/>
            <c:dispEq val="0"/>
          </c:trendline>
          <c:val>
            <c:numRef>
              <c:f>'15b-Charts Comp'!$D$33:$M$33</c:f>
            </c:numRef>
          </c:val>
          <c:extLst>
            <c:ext xmlns:c15="http://schemas.microsoft.com/office/drawing/2012/chart" uri="{02D57815-91ED-43cb-92C2-25804820EDAC}">
              <c15:filteredCategoryTitle>
                <c15:cat>
                  <c:multiLvlStrRef>
                    <c:extLst>
                      <c:ext uri="{02D57815-91ED-43cb-92C2-25804820EDAC}">
                        <c15:formulaRef>
                          <c15:sqref>'15b-Charts Comp'!$D$31:$M$31</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12700" cap="flat" cmpd="sng" algn="ctr">
            <a:solidFill>
              <a:srgbClr val="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solidFill>
          <a:srgbClr val="4F81BD">
            <a:lumMod val="40000"/>
            <a:lumOff val="60000"/>
          </a:srgbClr>
        </a:solidFill>
        <a:ln>
          <a:noFill/>
        </a:ln>
        <a:effectLst/>
      </c:spPr>
    </c:plotArea>
    <c:plotVisOnly val="1"/>
    <c:dispBlanksAs val="gap"/>
    <c:showDLblsOverMax val="0"/>
  </c:chart>
  <c:spPr>
    <a:solidFill>
      <a:srgbClr val="4F81BD">
        <a:lumMod val="40000"/>
        <a:lumOff val="60000"/>
      </a:srgb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9146854251252"/>
          <c:y val="0.19970993436264664"/>
          <c:w val="0.81460596070890112"/>
          <c:h val="0.67738145099627001"/>
        </c:manualLayout>
      </c:layout>
      <c:lineChart>
        <c:grouping val="standard"/>
        <c:varyColors val="0"/>
        <c:ser>
          <c:idx val="0"/>
          <c:order val="0"/>
          <c:tx>
            <c:strRef>
              <c:f>'15b-Charts Comp'!$B$122:$C$122</c:f>
              <c:strCache>
                <c:ptCount val="2"/>
                <c:pt idx="0">
                  <c:v>EVA Spread</c:v>
                </c:pt>
              </c:strCache>
            </c:strRef>
          </c:tx>
          <c:spPr>
            <a:ln w="25400" cap="rnd" cmpd="sng" algn="ctr">
              <a:solidFill>
                <a:srgbClr val="1F497D">
                  <a:lumMod val="75000"/>
                </a:srgbClr>
              </a:solidFill>
              <a:round/>
            </a:ln>
            <a:effectLst/>
          </c:spPr>
          <c:marker>
            <c:symbol val="none"/>
          </c:marker>
          <c:dLbls>
            <c:delete val="1"/>
          </c:dLbls>
          <c:val>
            <c:numRef>
              <c:f>'15b-Charts Comp'!$D$122:$M$122</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0-CEFB-42BB-85B9-D8B96C37BF96}"/>
            </c:ext>
          </c:extLst>
        </c:ser>
        <c:ser>
          <c:idx val="1"/>
          <c:order val="1"/>
          <c:tx>
            <c:strRef>
              <c:f>'15b-Charts Comp'!$B$123:$C$123</c:f>
              <c:strCache>
                <c:ptCount val="2"/>
                <c:pt idx="0">
                  <c:v>EVA Spread</c:v>
                </c:pt>
              </c:strCache>
            </c:strRef>
          </c:tx>
          <c:spPr>
            <a:ln w="25400" cap="rnd" cmpd="sng" algn="ctr">
              <a:solidFill>
                <a:schemeClr val="tx1"/>
              </a:solidFill>
              <a:round/>
            </a:ln>
            <a:effectLst/>
          </c:spPr>
          <c:marker>
            <c:symbol val="none"/>
          </c:marker>
          <c:dLbls>
            <c:delete val="1"/>
          </c:dLbls>
          <c:val>
            <c:numRef>
              <c:f>'15b-Charts Comp'!$D$123:$M$123</c:f>
            </c:numRef>
          </c:val>
          <c:smooth val="1"/>
          <c:extLst>
            <c:ext xmlns:c15="http://schemas.microsoft.com/office/drawing/2012/chart" uri="{02D57815-91ED-43cb-92C2-25804820EDAC}">
              <c15:filteredCategoryTitle>
                <c15:cat>
                  <c:multiLvlStrRef>
                    <c:extLst>
                      <c:ext uri="{02D57815-91ED-43cb-92C2-25804820EDAC}">
                        <c15:formulaRef>
                          <c15:sqref>'15b-Charts Comp'!$D$121:$M$121</c15:sqref>
                        </c15:formulaRef>
                      </c:ext>
                    </c:extLst>
                  </c:multiLvlStrRef>
                </c15:cat>
              </c15:filteredCategoryTitle>
            </c:ext>
            <c:ext xmlns:c16="http://schemas.microsoft.com/office/drawing/2014/chart" uri="{C3380CC4-5D6E-409C-BE32-E72D297353CC}">
              <c16:uniqueId val="{00000001-CEFB-42BB-85B9-D8B96C37BF96}"/>
            </c:ext>
          </c:extLst>
        </c:ser>
        <c:dLbls>
          <c:dLblPos val="ctr"/>
          <c:showLegendKey val="0"/>
          <c:showVal val="1"/>
          <c:showCatName val="0"/>
          <c:showSerName val="0"/>
          <c:showPercent val="0"/>
          <c:showBubbleSize val="0"/>
        </c:dLbls>
        <c:marker val="1"/>
        <c:smooth val="0"/>
        <c:axId val="387771160"/>
        <c:axId val="387772144"/>
        <c:extLst/>
      </c:lineChart>
      <c:catAx>
        <c:axId val="387771160"/>
        <c:scaling>
          <c:orientation val="minMax"/>
        </c:scaling>
        <c:delete val="0"/>
        <c:axPos val="b"/>
        <c:numFmt formatCode="General" sourceLinked="1"/>
        <c:majorTickMark val="out"/>
        <c:minorTickMark val="none"/>
        <c:tickLblPos val="low"/>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ysClr val="window" lastClr="FFFFFF"/>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ysClr val="window" lastClr="FFFFFF">
            <a:lumMod val="75000"/>
          </a:sysClr>
        </a:solidFill>
        <a:ln w="6350">
          <a:solidFill>
            <a:sysClr val="window" lastClr="FFFFFF">
              <a:lumMod val="75000"/>
              <a:alpha val="90000"/>
            </a:sysClr>
          </a:solidFill>
        </a:ln>
        <a:effectLst/>
      </c:spPr>
    </c:plotArea>
    <c:plotVisOnly val="1"/>
    <c:dispBlanksAs val="gap"/>
    <c:showDLblsOverMax val="0"/>
  </c:chart>
  <c:spPr>
    <a:solidFill>
      <a:sysClr val="window" lastClr="FFFFFF">
        <a:lumMod val="75000"/>
      </a:sys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E60019"/>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5-4E2A-4989-A1AD-FDC08616DCB9}"/>
              </c:ext>
            </c:extLst>
          </c:dPt>
          <c:dPt>
            <c:idx val="6"/>
            <c:invertIfNegative val="0"/>
            <c:bubble3D val="0"/>
            <c:spPr>
              <a:solidFill>
                <a:srgbClr val="E60019"/>
              </a:solidFill>
              <a:ln>
                <a:noFill/>
              </a:ln>
              <a:effectLst/>
            </c:spPr>
            <c:extLst>
              <c:ext xmlns:c16="http://schemas.microsoft.com/office/drawing/2014/chart" uri="{C3380CC4-5D6E-409C-BE32-E72D297353CC}">
                <c16:uniqueId val="{0000000C-4E2A-4989-A1AD-FDC08616DCB9}"/>
              </c:ext>
            </c:extLst>
          </c:dPt>
          <c:dPt>
            <c:idx val="9"/>
            <c:invertIfNegative val="0"/>
            <c:bubble3D val="0"/>
            <c:spPr>
              <a:solidFill>
                <a:srgbClr val="FFFF00"/>
              </a:solidFill>
              <a:ln>
                <a:noFill/>
              </a:ln>
              <a:effectLst/>
            </c:spPr>
            <c:extLst>
              <c:ext xmlns:c16="http://schemas.microsoft.com/office/drawing/2014/chart" uri="{C3380CC4-5D6E-409C-BE32-E72D297353CC}">
                <c16:uniqueId val="{0000000D-1EF8-42AA-9EAA-C6E977C795E9}"/>
              </c:ext>
            </c:extLst>
          </c:dPt>
          <c:trendline>
            <c:spPr>
              <a:ln w="19050" cap="rnd">
                <a:solidFill>
                  <a:schemeClr val="accent1"/>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Comp'!$D$220:$M$220</c:f>
              <c:numCache>
                <c:formatCode>_-* #,##0_-;\-* #,##0_-;_-* "-"??_-;_-@_-</c:formatCode>
                <c:ptCount val="10"/>
                <c:pt idx="0">
                  <c:v>5.5110000000000001</c:v>
                </c:pt>
                <c:pt idx="1">
                  <c:v>6.5949999999999998</c:v>
                </c:pt>
                <c:pt idx="2">
                  <c:v>16.463000000000001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E2A-4B1A-BE0A-7FBBCE6B43BD}"/>
            </c:ext>
          </c:extLst>
        </c:ser>
        <c:dLbls>
          <c:showLegendKey val="0"/>
          <c:showVal val="0"/>
          <c:showCatName val="0"/>
          <c:showSerName val="0"/>
          <c:showPercent val="0"/>
          <c:showBubbleSize val="0"/>
        </c:dLbls>
        <c:gapWidth val="30"/>
        <c:overlap val="-27"/>
        <c:axId val="281694208"/>
        <c:axId val="281701096"/>
      </c:barChart>
      <c:lineChart>
        <c:grouping val="standard"/>
        <c:varyColors val="0"/>
        <c:ser>
          <c:idx val="1"/>
          <c:order val="1"/>
          <c:spPr>
            <a:ln w="28575" cap="rnd">
              <a:solidFill>
                <a:schemeClr val="tx1"/>
              </a:solidFill>
              <a:round/>
            </a:ln>
            <a:effectLst/>
          </c:spPr>
          <c:marker>
            <c:symbol val="none"/>
          </c:marker>
          <c:trendline>
            <c:spPr>
              <a:ln w="19050" cap="rnd">
                <a:solidFill>
                  <a:schemeClr val="accent2"/>
                </a:solidFill>
                <a:prstDash val="dash"/>
              </a:ln>
              <a:effectLst/>
            </c:spPr>
            <c:trendlineType val="linear"/>
            <c:dispRSqr val="0"/>
            <c:dispEq val="0"/>
          </c:trendline>
          <c:cat>
            <c:numRef>
              <c:f>'15b-Charts Comp'!$D$219:$M$219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Comp'!$D$221:$M$221</c:f>
              <c:numCache>
                <c:formatCode>0.0%</c:formatCode>
                <c:ptCount val="10"/>
                <c:pt idx="0" formatCode="0.00%">
                  <c:v>-1.4999999999999999E-2</c:v>
                </c:pt>
                <c:pt idx="1">
                  <c:v>0.19669751406278335</c:v>
                </c:pt>
                <c:pt idx="2">
                  <c:v>1.4962850644427599</c:v>
                </c:pt>
                <c:pt idx="3">
                  <c:v>-1</c:v>
                </c:pt>
                <c:pt idx="4">
                  <c:v>0</c:v>
                </c:pt>
                <c:pt idx="5">
                  <c:v>0</c:v>
                </c:pt>
                <c:pt idx="6">
                  <c:v>0</c:v>
                </c:pt>
                <c:pt idx="7">
                  <c:v>0</c:v>
                </c:pt>
                <c:pt idx="8">
                  <c:v>0</c:v>
                </c:pt>
                <c:pt idx="9" formatCode="General">
                  <c:v>0</c:v>
                </c:pt>
              </c:numCache>
            </c:numRef>
          </c:val>
          <c:smooth val="1"/>
          <c:extLst>
            <c:ext xmlns:c16="http://schemas.microsoft.com/office/drawing/2014/chart" uri="{C3380CC4-5D6E-409C-BE32-E72D297353CC}">
              <c16:uniqueId val="{00000001-EE2A-4B1A-BE0A-7FBBCE6B43BD}"/>
            </c:ext>
          </c:extLst>
        </c:ser>
        <c:dLbls>
          <c:showLegendKey val="0"/>
          <c:showVal val="0"/>
          <c:showCatName val="0"/>
          <c:showSerName val="0"/>
          <c:showPercent val="0"/>
          <c:showBubbleSize val="0"/>
        </c:dLbls>
        <c:marker val="1"/>
        <c:smooth val="0"/>
        <c:axId val="281705360"/>
        <c:axId val="281706016"/>
      </c:lineChart>
      <c:dateAx>
        <c:axId val="281694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81701096"/>
        <c:crosses val="autoZero"/>
        <c:auto val="0"/>
        <c:lblOffset val="100"/>
        <c:baseTimeUnit val="days"/>
      </c:dateAx>
      <c:valAx>
        <c:axId val="28170109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rgbClr val="FF0000"/>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694208"/>
        <c:crosses val="autoZero"/>
        <c:crossBetween val="between"/>
      </c:valAx>
      <c:valAx>
        <c:axId val="2817060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1705360"/>
        <c:crosses val="max"/>
        <c:crossBetween val="between"/>
      </c:valAx>
      <c:dateAx>
        <c:axId val="281705360"/>
        <c:scaling>
          <c:orientation val="minMax"/>
        </c:scaling>
        <c:delete val="1"/>
        <c:axPos val="b"/>
        <c:numFmt formatCode="General" sourceLinked="1"/>
        <c:majorTickMark val="none"/>
        <c:minorTickMark val="none"/>
        <c:tickLblPos val="nextTo"/>
        <c:crossAx val="281706016"/>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92356077354655"/>
          <c:y val="4.3750577784181927E-2"/>
          <c:w val="0.63603044428041466"/>
          <c:h val="0.74340359725207827"/>
        </c:manualLayout>
      </c:layout>
      <c:barChart>
        <c:barDir val="col"/>
        <c:grouping val="clustered"/>
        <c:varyColors val="0"/>
        <c:ser>
          <c:idx val="0"/>
          <c:order val="0"/>
          <c:spPr>
            <a:solidFill>
              <a:srgbClr val="0070C0"/>
            </a:solidFill>
            <a:ln>
              <a:noFill/>
            </a:ln>
            <a:effectLst/>
          </c:spPr>
          <c:invertIfNegative val="0"/>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Comp'!$D$223:$M$223</c:f>
              <c:numCache>
                <c:formatCode>_-* #,##0_-;\-* #,##0_-;_-* "-"??_-;_-@_-</c:formatCode>
                <c:ptCount val="10"/>
                <c:pt idx="0">
                  <c:v>0</c:v>
                </c:pt>
                <c:pt idx="1">
                  <c:v>0</c:v>
                </c:pt>
                <c:pt idx="2">
                  <c:v>0</c:v>
                </c:pt>
                <c:pt idx="3">
                  <c:v>0</c:v>
                </c:pt>
                <c:pt idx="4">
                  <c:v>0</c:v>
                </c:pt>
                <c:pt idx="5">
                  <c:v>5.5110000000000001</c:v>
                </c:pt>
                <c:pt idx="6">
                  <c:v>6.5949999999999998</c:v>
                </c:pt>
                <c:pt idx="7">
                  <c:v>16.463000000000001</c:v>
                </c:pt>
                <c:pt idx="8">
                  <c:v>0</c:v>
                </c:pt>
                <c:pt idx="9">
                  <c:v>0</c:v>
                </c:pt>
              </c:numCache>
            </c:numRef>
          </c:val>
          <c:extLst>
            <c:ext xmlns:c16="http://schemas.microsoft.com/office/drawing/2014/chart" uri="{C3380CC4-5D6E-409C-BE32-E72D297353CC}">
              <c16:uniqueId val="{00000000-0840-4F08-90CA-20328A03A9EE}"/>
            </c:ext>
          </c:extLst>
        </c:ser>
        <c:dLbls>
          <c:showLegendKey val="0"/>
          <c:showVal val="0"/>
          <c:showCatName val="0"/>
          <c:showSerName val="0"/>
          <c:showPercent val="0"/>
          <c:showBubbleSize val="0"/>
        </c:dLbls>
        <c:gapWidth val="30"/>
        <c:overlap val="-27"/>
        <c:axId val="714233504"/>
        <c:axId val="714234488"/>
      </c:barChart>
      <c:lineChart>
        <c:grouping val="standard"/>
        <c:varyColors val="0"/>
        <c:ser>
          <c:idx val="1"/>
          <c:order val="1"/>
          <c:spPr>
            <a:ln w="28575" cap="rnd">
              <a:solidFill>
                <a:schemeClr val="tx1"/>
              </a:solidFill>
              <a:round/>
            </a:ln>
            <a:effectLst/>
          </c:spPr>
          <c:marker>
            <c:symbol val="none"/>
          </c:marker>
          <c:trendline>
            <c:spPr>
              <a:ln w="25400" cap="rnd">
                <a:solidFill>
                  <a:srgbClr val="FF0000"/>
                </a:solidFill>
                <a:prstDash val="dash"/>
              </a:ln>
              <a:effectLst/>
            </c:spPr>
            <c:trendlineType val="linear"/>
            <c:dispRSqr val="0"/>
            <c:dispEq val="0"/>
          </c:trendline>
          <c:cat>
            <c:numRef>
              <c:f>'15b-Charts Comp'!$D$222:$M$222</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Comp'!$D$224:$M$224</c:f>
              <c:numCache>
                <c:formatCode>0.0%</c:formatCode>
                <c:ptCount val="10"/>
                <c:pt idx="0" formatCode="0.00%">
                  <c:v>9.6000000000000002E-2</c:v>
                </c:pt>
                <c:pt idx="1">
                  <c:v>0</c:v>
                </c:pt>
                <c:pt idx="2">
                  <c:v>0</c:v>
                </c:pt>
                <c:pt idx="3">
                  <c:v>0</c:v>
                </c:pt>
                <c:pt idx="4">
                  <c:v>0</c:v>
                </c:pt>
                <c:pt idx="5">
                  <c:v>0</c:v>
                </c:pt>
                <c:pt idx="6">
                  <c:v>0.19669751406278335</c:v>
                </c:pt>
                <c:pt idx="7">
                  <c:v>1.4962850644427599</c:v>
                </c:pt>
                <c:pt idx="8">
                  <c:v>-1</c:v>
                </c:pt>
                <c:pt idx="9">
                  <c:v>0</c:v>
                </c:pt>
              </c:numCache>
            </c:numRef>
          </c:val>
          <c:smooth val="1"/>
          <c:extLst>
            <c:ext xmlns:c16="http://schemas.microsoft.com/office/drawing/2014/chart" uri="{C3380CC4-5D6E-409C-BE32-E72D297353CC}">
              <c16:uniqueId val="{00000001-0840-4F08-90CA-20328A03A9EE}"/>
            </c:ext>
          </c:extLst>
        </c:ser>
        <c:dLbls>
          <c:showLegendKey val="0"/>
          <c:showVal val="0"/>
          <c:showCatName val="0"/>
          <c:showSerName val="0"/>
          <c:showPercent val="0"/>
          <c:showBubbleSize val="0"/>
        </c:dLbls>
        <c:marker val="1"/>
        <c:smooth val="0"/>
        <c:axId val="717534152"/>
        <c:axId val="717533824"/>
      </c:lineChart>
      <c:dateAx>
        <c:axId val="7142335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n-US"/>
          </a:p>
        </c:txPr>
        <c:crossAx val="714234488"/>
        <c:crosses val="autoZero"/>
        <c:auto val="0"/>
        <c:lblOffset val="100"/>
        <c:baseTimeUnit val="days"/>
      </c:dateAx>
      <c:valAx>
        <c:axId val="714234488"/>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solidFill>
                      <a:schemeClr val="tx2">
                        <a:lumMod val="75000"/>
                      </a:schemeClr>
                    </a:solidFill>
                  </a:rPr>
                  <a:t>Total Sales (bar)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233504"/>
        <c:crossesAt val="2008"/>
        <c:crossBetween val="between"/>
      </c:valAx>
      <c:valAx>
        <c:axId val="7175338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Growth Rate (line)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7534152"/>
        <c:crosses val="max"/>
        <c:crossBetween val="between"/>
      </c:valAx>
      <c:dateAx>
        <c:axId val="717534152"/>
        <c:scaling>
          <c:orientation val="minMax"/>
        </c:scaling>
        <c:delete val="1"/>
        <c:axPos val="b"/>
        <c:numFmt formatCode="General" sourceLinked="1"/>
        <c:majorTickMark val="none"/>
        <c:minorTickMark val="none"/>
        <c:tickLblPos val="nextTo"/>
        <c:crossAx val="717533824"/>
        <c:crosses val="autoZero"/>
        <c:auto val="0"/>
        <c:lblOffset val="100"/>
        <c:baseTimeUnit val="days"/>
      </c:dateAx>
      <c:spPr>
        <a:solidFill>
          <a:schemeClr val="bg1">
            <a:lumMod val="75000"/>
          </a:schemeClr>
        </a:solidFill>
        <a:ln>
          <a:noFill/>
        </a:ln>
        <a:effectLst/>
      </c:spPr>
    </c:plotArea>
    <c:plotVisOnly val="1"/>
    <c:dispBlanksAs val="gap"/>
    <c:showDLblsOverMax val="0"/>
  </c:chart>
  <c:spPr>
    <a:solidFill>
      <a:schemeClr val="bg1">
        <a:lumMod val="75000"/>
      </a:schemeClr>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solidFill>
                  <a:sysClr val="windowText" lastClr="000000"/>
                </a:solidFill>
              </a:rPr>
              <a:t>Market Value and Capital</a:t>
            </a:r>
          </a:p>
          <a:p>
            <a:pPr>
              <a:defRPr sz="1200"/>
            </a:pPr>
            <a:r>
              <a:rPr lang="en-NZ" sz="1200" baseline="0">
                <a:solidFill>
                  <a:srgbClr val="0070C0"/>
                </a:solidFill>
              </a:rPr>
              <a:t> Briscoe</a:t>
            </a:r>
            <a:endParaRPr lang="en-NZ" sz="1200" baseline="0"/>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Comp'!$B$257</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dPt>
            <c:idx val="0"/>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0070C0"/>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Comp'!$D$257:$L$257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Comp'!$B$258</c:f>
              <c:strCache>
                <c:ptCount val="1"/>
                <c:pt idx="0">
                  <c:v>Operating Capital</c:v>
                </c:pt>
              </c:strCache>
            </c:strRef>
          </c:tx>
          <c:spPr>
            <a:solidFill>
              <a:srgbClr val="000000"/>
            </a:solidFill>
            <a:ln w="9525" cap="flat" cmpd="sng" algn="ctr">
              <a:solidFill>
                <a:schemeClr val="lt1">
                  <a:alpha val="50000"/>
                </a:schemeClr>
              </a:solidFill>
              <a:round/>
            </a:ln>
            <a:effectLst/>
          </c:spPr>
          <c:invertIfNegative val="0"/>
          <c:cat>
            <c:numRef>
              <c:f>'15b-Charts Comp'!$D$256:$L$256</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Comp'!$D$258:$L$258</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r>
              <a:rPr lang="en-US">
                <a:latin typeface="Franklin Gothic Demi Cond" panose="020B0706030402020204" pitchFamily="34" charset="0"/>
              </a:rPr>
              <a:t>TSR per annum ave.</a:t>
            </a:r>
          </a:p>
          <a:p>
            <a:pPr>
              <a:defRPr>
                <a:latin typeface="Franklin Gothic Demi Cond" panose="020B0706030402020204" pitchFamily="34" charset="0"/>
              </a:defRPr>
            </a:pPr>
            <a:r>
              <a:rPr lang="en-US">
                <a:latin typeface="Franklin Gothic Demi Cond" panose="020B0706030402020204" pitchFamily="34" charset="0"/>
              </a:rPr>
              <a:t>Briscoe Group</a:t>
            </a:r>
          </a:p>
        </c:rich>
      </c:tx>
      <c:layout>
        <c:manualLayout>
          <c:xMode val="edge"/>
          <c:yMode val="edge"/>
          <c:x val="0.3202575403893797"/>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Franklin Gothic Demi Cond" panose="020B0706030402020204" pitchFamily="34" charset="0"/>
              <a:ea typeface="+mn-ea"/>
              <a:cs typeface="+mn-cs"/>
            </a:defRPr>
          </a:pPr>
          <a:endParaRPr lang="en-US"/>
        </a:p>
      </c:txPr>
    </c:title>
    <c:autoTitleDeleted val="0"/>
    <c:plotArea>
      <c:layout/>
      <c:barChart>
        <c:barDir val="bar"/>
        <c:grouping val="clustered"/>
        <c:varyColors val="0"/>
        <c:ser>
          <c:idx val="0"/>
          <c:order val="0"/>
          <c:tx>
            <c:strRef>
              <c:f>'15b-Charts Comp'!$B$340</c:f>
              <c:strCache>
                <c:ptCount val="1"/>
                <c:pt idx="0">
                  <c:v>TSR pa ave.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'15b-Charts Comp'!$B$338:$L$339</c:f>
              <c:strCache>
                <c:ptCount val="11"/>
                <c:pt idx="0">
                  <c:v>years</c:v>
                </c:pt>
                <c:pt idx="1">
                  <c:v>#REF!</c:v>
                </c:pt>
                <c:pt idx="2">
                  <c:v>#REF!</c:v>
                </c:pt>
                <c:pt idx="3">
                  <c:v>#REF!</c:v>
                </c:pt>
                <c:pt idx="4">
                  <c:v>#REF!</c:v>
                </c:pt>
                <c:pt idx="5">
                  <c:v>#REF!</c:v>
                </c:pt>
                <c:pt idx="6">
                  <c:v>#REF!</c:v>
                </c:pt>
                <c:pt idx="7">
                  <c:v>#REF!</c:v>
                </c:pt>
                <c:pt idx="8">
                  <c:v>#REF!</c:v>
                </c:pt>
                <c:pt idx="9">
                  <c:v>#REF!</c:v>
                </c:pt>
                <c:pt idx="10">
                  <c:v>#REF!</c:v>
                </c:pt>
              </c:strCache>
            </c:strRef>
          </c:cat>
          <c:val>
            <c:numRef>
              <c:f>'15b-Charts Comp'!$B$340:$L$340</c:f>
              <c:numCache>
                <c:formatCode>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485-4C08-B51E-ED8E44B80886}"/>
            </c:ext>
          </c:extLst>
        </c:ser>
        <c:dLbls>
          <c:showLegendKey val="0"/>
          <c:showVal val="0"/>
          <c:showCatName val="0"/>
          <c:showSerName val="0"/>
          <c:showPercent val="0"/>
          <c:showBubbleSize val="0"/>
        </c:dLbls>
        <c:gapWidth val="30"/>
        <c:axId val="525468240"/>
        <c:axId val="525464304"/>
      </c:barChart>
      <c:catAx>
        <c:axId val="5254682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4304"/>
        <c:crosses val="autoZero"/>
        <c:auto val="1"/>
        <c:lblAlgn val="ctr"/>
        <c:lblOffset val="100"/>
        <c:noMultiLvlLbl val="0"/>
      </c:catAx>
      <c:valAx>
        <c:axId val="525464304"/>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468240"/>
        <c:crosses val="autoZero"/>
        <c:crossBetween val="between"/>
      </c:valAx>
      <c:spPr>
        <a:noFill/>
        <a:ln>
          <a:noFill/>
        </a:ln>
        <a:effectLst/>
      </c:spPr>
    </c:plotArea>
    <c:plotVisOnly val="1"/>
    <c:dispBlanksAs val="gap"/>
    <c:showDLblsOverMax val="0"/>
  </c:chart>
  <c:spPr>
    <a:solidFill>
      <a:schemeClr val="bg1">
        <a:lumMod val="8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a:t>Market Value and Capital</a:t>
            </a:r>
          </a:p>
          <a:p>
            <a:pPr>
              <a:defRPr sz="1200"/>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manualLayout>
          <c:layoutTarget val="inner"/>
          <c:xMode val="edge"/>
          <c:yMode val="edge"/>
          <c:x val="5.2844873126339398E-2"/>
          <c:y val="0.23309325007106169"/>
          <c:w val="0.92388945993675464"/>
          <c:h val="0.60893928541325426"/>
        </c:manualLayout>
      </c:layout>
      <c:barChart>
        <c:barDir val="col"/>
        <c:grouping val="clustered"/>
        <c:varyColors val="0"/>
        <c:ser>
          <c:idx val="0"/>
          <c:order val="0"/>
          <c:tx>
            <c:strRef>
              <c:f>'15b-Charts Comp'!$B$507:$C$507</c:f>
              <c:strCache>
                <c:ptCount val="2"/>
                <c:pt idx="0">
                  <c:v>Market Value Added</c:v>
                </c:pt>
              </c:strCache>
            </c:strRef>
          </c:tx>
          <c:spPr>
            <a:solidFill>
              <a:srgbClr val="E60019"/>
            </a:solidFill>
            <a:ln w="9525" cap="flat" cmpd="sng" algn="ctr">
              <a:solidFill>
                <a:schemeClr val="lt1">
                  <a:alpha val="50000"/>
                </a:schemeClr>
              </a:solidFill>
              <a:round/>
            </a:ln>
            <a:effectLst/>
          </c:spPr>
          <c:invertIfNegative val="0"/>
          <c:dPt>
            <c:idx val="0"/>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6-E3E0-43F1-A340-044715451A73}"/>
              </c:ext>
            </c:extLst>
          </c:dPt>
          <c:dPt>
            <c:idx val="1"/>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7-E3E0-43F1-A340-044715451A73}"/>
              </c:ext>
            </c:extLst>
          </c:dPt>
          <c:dPt>
            <c:idx val="2"/>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8-E3E0-43F1-A340-044715451A73}"/>
              </c:ext>
            </c:extLst>
          </c:dPt>
          <c:dPt>
            <c:idx val="3"/>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9-E3E0-43F1-A340-044715451A73}"/>
              </c:ext>
            </c:extLst>
          </c:dPt>
          <c:dPt>
            <c:idx val="4"/>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A-E3E0-43F1-A340-044715451A73}"/>
              </c:ext>
            </c:extLst>
          </c:dPt>
          <c:dPt>
            <c:idx val="5"/>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B-E3E0-43F1-A340-044715451A73}"/>
              </c:ext>
            </c:extLst>
          </c:dPt>
          <c:dPt>
            <c:idx val="6"/>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C-E3E0-43F1-A340-044715451A73}"/>
              </c:ext>
            </c:extLst>
          </c:dPt>
          <c:dPt>
            <c:idx val="7"/>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D-E3E0-43F1-A340-044715451A73}"/>
              </c:ext>
            </c:extLst>
          </c:dPt>
          <c:dPt>
            <c:idx val="8"/>
            <c:invertIfNegative val="0"/>
            <c:bubble3D val="0"/>
            <c:spPr>
              <a:solidFill>
                <a:srgbClr val="E60019"/>
              </a:solidFill>
              <a:ln w="9525" cap="flat" cmpd="sng" algn="ctr">
                <a:solidFill>
                  <a:schemeClr val="lt1">
                    <a:alpha val="50000"/>
                  </a:schemeClr>
                </a:solidFill>
                <a:round/>
              </a:ln>
              <a:effectLst/>
            </c:spPr>
            <c:extLst>
              <c:ext xmlns:c16="http://schemas.microsoft.com/office/drawing/2014/chart" uri="{C3380CC4-5D6E-409C-BE32-E72D297353CC}">
                <c16:uniqueId val="{00000005-E3E0-43F1-A340-044715451A73}"/>
              </c:ext>
            </c:extLst>
          </c:dPt>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Comp'!$D$507:$M$507</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2A2-43E2-B2AE-C1527F93348D}"/>
            </c:ext>
          </c:extLst>
        </c:ser>
        <c:ser>
          <c:idx val="1"/>
          <c:order val="1"/>
          <c:tx>
            <c:strRef>
              <c:f>'15b-Charts Comp'!$B$508:$C$508</c:f>
              <c:strCache>
                <c:ptCount val="2"/>
                <c:pt idx="0">
                  <c:v>Capital</c:v>
                </c:pt>
              </c:strCache>
            </c:strRef>
          </c:tx>
          <c:spPr>
            <a:solidFill>
              <a:srgbClr val="000000"/>
            </a:solidFill>
            <a:ln w="9525" cap="flat" cmpd="sng" algn="ctr">
              <a:solidFill>
                <a:schemeClr val="lt1">
                  <a:alpha val="50000"/>
                </a:schemeClr>
              </a:solidFill>
              <a:round/>
            </a:ln>
            <a:effectLst/>
          </c:spPr>
          <c:invertIfNegative val="0"/>
          <c:cat>
            <c:numRef>
              <c:f>'15b-Charts Comp'!$D$506:$M$506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Comp'!$D$508:$M$508</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2A2-43E2-B2AE-C1527F93348D}"/>
            </c:ext>
          </c:extLst>
        </c:ser>
        <c:dLbls>
          <c:showLegendKey val="0"/>
          <c:showVal val="0"/>
          <c:showCatName val="0"/>
          <c:showSerName val="0"/>
          <c:showPercent val="0"/>
          <c:showBubbleSize val="0"/>
        </c:dLbls>
        <c:gapWidth val="65"/>
        <c:axId val="644842552"/>
        <c:axId val="644843536"/>
      </c:barChart>
      <c:catAx>
        <c:axId val="644842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644843536"/>
        <c:crosses val="autoZero"/>
        <c:auto val="1"/>
        <c:lblAlgn val="ctr"/>
        <c:lblOffset val="100"/>
        <c:noMultiLvlLbl val="0"/>
      </c:catAx>
      <c:valAx>
        <c:axId val="64484353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Title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448425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ndar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Comp'!$N$92:$S$92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314-476A-B763-4956C2EE2DBA}"/>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chemeClr val="accent1">
                <a:lumMod val="75000"/>
              </a:schemeClr>
            </a:solidFill>
            <a:ln w="25400"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Comp'!$N$91:$S$91</c:f>
              <c:numCache>
                <c:formatCode>0.0%</c:formatCode>
                <c:ptCount val="6"/>
                <c:pt idx="0">
                  <c:v>0.188</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E314-476A-B763-4956C2EE2DBA}"/>
            </c:ext>
          </c:extLst>
        </c:ser>
        <c:ser>
          <c:idx val="2"/>
          <c:order val="2"/>
          <c:spPr>
            <a:solidFill>
              <a:srgbClr val="C00000"/>
            </a:solidFill>
            <a:ln w="9525" cap="flat" cmpd="sng" algn="ctr">
              <a:noFill/>
              <a:round/>
            </a:ln>
            <a:effectLst>
              <a:outerShdw blurRad="40000" dist="20000" dir="5400000" rotWithShape="0">
                <a:srgbClr val="000000">
                  <a:alpha val="38000"/>
                </a:srgbClr>
              </a:outerShdw>
            </a:effectLst>
          </c:spPr>
          <c:invertIfNegative val="0"/>
          <c:cat>
            <c:numRef>
              <c:f>'15b-Charts Comp'!$N$90:$S$90</c:f>
              <c:numCache>
                <c:formatCode>General</c:formatCode>
                <c:ptCount val="6"/>
                <c:pt idx="0">
                  <c:v>2013</c:v>
                </c:pt>
                <c:pt idx="1">
                  <c:v>2014</c:v>
                </c:pt>
                <c:pt idx="2">
                  <c:v>2015</c:v>
                </c:pt>
                <c:pt idx="3">
                  <c:v>2016</c:v>
                </c:pt>
                <c:pt idx="4">
                  <c:v>2017</c:v>
                </c:pt>
                <c:pt idx="5">
                  <c:v>2018</c:v>
                </c:pt>
              </c:numCache>
            </c:numRef>
          </c:cat>
          <c:val>
            <c:numRef>
              <c:f>'15b-Charts Comp'!$N$93:$S$93</c:f>
              <c:numCache>
                <c:formatCode>0.0%</c:formatCode>
                <c:ptCount val="6"/>
                <c:pt idx="0">
                  <c:v>0</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6-E314-476A-B763-4956C2EE2DBA}"/>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802862013830467"/>
          <c:y val="0.19971008106018423"/>
          <c:w val="0.8271837501977235"/>
          <c:h val="0.67738145099627001"/>
        </c:manualLayout>
      </c:layout>
      <c:areaChart>
        <c:grouping val="stacked"/>
        <c:varyColors val="0"/>
        <c:ser>
          <c:idx val="1"/>
          <c:order val="1"/>
          <c:spPr>
            <a:solidFill>
              <a:schemeClr val="bg1">
                <a:lumMod val="50000"/>
              </a:schemeClr>
            </a:solidFill>
            <a:ln w="9525" cap="flat" cmpd="sng" algn="ctr">
              <a:solidFill>
                <a:schemeClr val="tx1"/>
              </a:solidFill>
              <a:round/>
            </a:ln>
            <a:effectLst>
              <a:outerShdw blurRad="40000" dist="20000" dir="5400000" rotWithShape="0">
                <a:srgbClr val="000000">
                  <a:alpha val="38000"/>
                </a:srgbClr>
              </a:outerShdw>
            </a:effectLst>
          </c:spPr>
          <c:val>
            <c:numRef>
              <c:f>'15b-Charts Comp'!$D$92:$I$92</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CA9-4BAE-8FC8-D0FC80ED9AA8}"/>
            </c:ext>
          </c:extLst>
        </c:ser>
        <c:dLbls>
          <c:showLegendKey val="0"/>
          <c:showVal val="0"/>
          <c:showCatName val="0"/>
          <c:showSerName val="0"/>
          <c:showPercent val="0"/>
          <c:showBubbleSize val="0"/>
        </c:dLbls>
        <c:axId val="387771160"/>
        <c:axId val="387772144"/>
      </c:areaChart>
      <c:barChart>
        <c:barDir val="col"/>
        <c:grouping val="clustered"/>
        <c:varyColors val="0"/>
        <c:ser>
          <c:idx val="0"/>
          <c:order val="0"/>
          <c:spPr>
            <a:solidFill>
              <a:srgbClr val="C00000"/>
            </a:solidFill>
            <a:ln w="25400"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Comp'!$D$93:$I$93</c:f>
              <c:numCache>
                <c:formatCode>0.0%</c:formatCode>
                <c:ptCount val="6"/>
                <c:pt idx="0">
                  <c:v>0</c:v>
                </c:pt>
                <c:pt idx="1">
                  <c:v>0.189</c:v>
                </c:pt>
                <c:pt idx="2">
                  <c:v>0.188</c:v>
                </c:pt>
                <c:pt idx="3">
                  <c:v>0.20899999999999999</c:v>
                </c:pt>
                <c:pt idx="4">
                  <c:v>0.2</c:v>
                </c:pt>
                <c:pt idx="5">
                  <c:v>0.16800000000000001</c:v>
                </c:pt>
              </c:numCache>
            </c:numRef>
          </c:val>
          <c:extLst>
            <c:ext xmlns:c16="http://schemas.microsoft.com/office/drawing/2014/chart" uri="{C3380CC4-5D6E-409C-BE32-E72D297353CC}">
              <c16:uniqueId val="{00000000-CEFB-42BB-85B9-D8B96C37BF96}"/>
            </c:ext>
          </c:extLst>
        </c:ser>
        <c:ser>
          <c:idx val="2"/>
          <c:order val="2"/>
          <c:spPr>
            <a:solidFill>
              <a:srgbClr val="FFC000"/>
            </a:solidFill>
            <a:ln w="9525" cap="flat" cmpd="sng" algn="ctr">
              <a:noFill/>
              <a:round/>
            </a:ln>
            <a:effectLst>
              <a:outerShdw blurRad="40000" dist="20000" dir="5400000" rotWithShape="0">
                <a:srgbClr val="000000">
                  <a:alpha val="38000"/>
                </a:srgbClr>
              </a:outerShdw>
            </a:effectLst>
          </c:spPr>
          <c:invertIfNegative val="0"/>
          <c:cat>
            <c:numRef>
              <c:f>'15b-Charts Comp'!$D$90:$I$90</c:f>
              <c:numCache>
                <c:formatCode>General</c:formatCode>
                <c:ptCount val="6"/>
                <c:pt idx="0">
                  <c:v>2013</c:v>
                </c:pt>
                <c:pt idx="1">
                  <c:v>2014</c:v>
                </c:pt>
                <c:pt idx="2">
                  <c:v>2015</c:v>
                </c:pt>
                <c:pt idx="3">
                  <c:v>2016</c:v>
                </c:pt>
                <c:pt idx="4">
                  <c:v>2017</c:v>
                </c:pt>
                <c:pt idx="5">
                  <c:v>2018</c:v>
                </c:pt>
              </c:numCache>
            </c:numRef>
          </c:cat>
          <c:val>
            <c:numRef>
              <c:f>'15b-Charts Comp'!$D$91:$I$91</c:f>
              <c:numCache>
                <c:formatCode>0.0%</c:formatCode>
                <c:ptCount val="6"/>
                <c:pt idx="0">
                  <c:v>0.188</c:v>
                </c:pt>
                <c:pt idx="1">
                  <c:v>0.18</c:v>
                </c:pt>
                <c:pt idx="2">
                  <c:v>5.7000000000000002E-2</c:v>
                </c:pt>
                <c:pt idx="3">
                  <c:v>0.17199999999999999</c:v>
                </c:pt>
                <c:pt idx="4">
                  <c:v>0.27</c:v>
                </c:pt>
                <c:pt idx="5">
                  <c:v>0.20899999999999999</c:v>
                </c:pt>
              </c:numCache>
            </c:numRef>
          </c:val>
          <c:extLst>
            <c:ext xmlns:c16="http://schemas.microsoft.com/office/drawing/2014/chart" uri="{C3380CC4-5D6E-409C-BE32-E72D297353CC}">
              <c16:uniqueId val="{00000000-3AF8-432A-BB50-FB48FA5248C8}"/>
            </c:ext>
          </c:extLst>
        </c:ser>
        <c:dLbls>
          <c:showLegendKey val="0"/>
          <c:showVal val="0"/>
          <c:showCatName val="0"/>
          <c:showSerName val="0"/>
          <c:showPercent val="0"/>
          <c:showBubbleSize val="0"/>
        </c:dLbls>
        <c:gapWidth val="150"/>
        <c:axId val="387771160"/>
        <c:axId val="387772144"/>
      </c:barChart>
      <c:catAx>
        <c:axId val="3877711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2144"/>
        <c:crosses val="autoZero"/>
        <c:auto val="1"/>
        <c:lblAlgn val="ctr"/>
        <c:lblOffset val="100"/>
        <c:noMultiLvlLbl val="0"/>
      </c:catAx>
      <c:valAx>
        <c:axId val="387772144"/>
        <c:scaling>
          <c:orientation val="minMax"/>
        </c:scaling>
        <c:delete val="0"/>
        <c:axPos val="l"/>
        <c:majorGridlines>
          <c:spPr>
            <a:ln w="3175">
              <a:solidFill>
                <a:schemeClr val="bg1"/>
              </a:solidFill>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chemeClr val="dk1">
                    <a:lumMod val="65000"/>
                    <a:lumOff val="35000"/>
                  </a:schemeClr>
                </a:solidFill>
                <a:latin typeface="Arial Narrow" panose="020B0606020202030204" pitchFamily="34" charset="0"/>
                <a:ea typeface="+mn-ea"/>
                <a:cs typeface="+mn-cs"/>
              </a:defRPr>
            </a:pPr>
            <a:endParaRPr lang="en-US"/>
          </a:p>
        </c:txPr>
        <c:crossAx val="387771160"/>
        <c:crosses val="autoZero"/>
        <c:crossBetween val="between"/>
      </c:valAx>
      <c:spPr>
        <a:solidFill>
          <a:schemeClr val="bg1">
            <a:lumMod val="75000"/>
            <a:alpha val="90000"/>
          </a:schemeClr>
        </a:solidFill>
        <a:ln w="317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r>
              <a:rPr lang="en-NZ">
                <a:solidFill>
                  <a:srgbClr val="FF0000"/>
                </a:solidFill>
              </a:rPr>
              <a:t>The Warehouse</a:t>
            </a:r>
          </a:p>
        </c:rich>
      </c:tx>
      <c:overlay val="0"/>
      <c:spPr>
        <a:noFill/>
        <a:ln>
          <a:noFill/>
        </a:ln>
        <a:effectLst/>
      </c:spPr>
      <c:txPr>
        <a:bodyPr rot="0" spcFirstLastPara="1" vertOverflow="ellipsis" vert="horz" wrap="square" anchor="ctr" anchorCtr="1"/>
        <a:lstStyle/>
        <a:p>
          <a:pPr>
            <a:defRPr sz="1800" b="1" i="0" u="none" strike="noStrike" kern="1200" baseline="0">
              <a:solidFill>
                <a:srgbClr val="FF0000"/>
              </a:solidFill>
              <a:latin typeface="+mn-lt"/>
              <a:ea typeface="+mn-ea"/>
              <a:cs typeface="+mn-cs"/>
            </a:defRPr>
          </a:pPr>
          <a:endParaRPr lang="en-US"/>
        </a:p>
      </c:txPr>
    </c:title>
    <c:autoTitleDeleted val="0"/>
    <c:plotArea>
      <c:layout>
        <c:manualLayout>
          <c:layoutTarget val="inner"/>
          <c:xMode val="edge"/>
          <c:yMode val="edge"/>
          <c:x val="5.8801058439482128E-2"/>
          <c:y val="0.23564789174062256"/>
          <c:w val="0.93888888888888888"/>
          <c:h val="0.69827172645086033"/>
        </c:manualLayout>
      </c:layout>
      <c:barChart>
        <c:barDir val="col"/>
        <c:grouping val="clustered"/>
        <c:varyColors val="0"/>
        <c:ser>
          <c:idx val="0"/>
          <c:order val="0"/>
          <c:spPr>
            <a:solidFill>
              <a:schemeClr val="accent4">
                <a:alpha val="85000"/>
              </a:schemeClr>
            </a:solidFill>
            <a:ln w="9525" cap="flat" cmpd="sng" algn="ctr">
              <a:solidFill>
                <a:schemeClr val="lt1">
                  <a:alpha val="50000"/>
                </a:schemeClr>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Stores'!$I$141:$M$141</c:f>
              <c:strCache>
                <c:ptCount val="5"/>
                <c:pt idx="0">
                  <c:v>Market Value</c:v>
                </c:pt>
                <c:pt idx="1">
                  <c:v>Capital</c:v>
                </c:pt>
                <c:pt idx="2">
                  <c:v>MVA</c:v>
                </c:pt>
                <c:pt idx="3">
                  <c:v>CVA</c:v>
                </c:pt>
                <c:pt idx="4">
                  <c:v>FVA</c:v>
                </c:pt>
              </c:strCache>
            </c:strRef>
          </c:cat>
          <c:val>
            <c:numRef>
              <c:f>'15c-Charts Stores'!$I$142:$M$142</c:f>
              <c:numCache>
                <c:formatCode>0%</c:formatCode>
                <c:ptCount val="5"/>
                <c:pt idx="0">
                  <c:v>1</c:v>
                </c:pt>
                <c:pt idx="1">
                  <c:v>0.75295536791314832</c:v>
                </c:pt>
                <c:pt idx="2">
                  <c:v>0.24704463208685162</c:v>
                </c:pt>
                <c:pt idx="3">
                  <c:v>9.1917973462002409E-2</c:v>
                </c:pt>
                <c:pt idx="4">
                  <c:v>0.15512665862484923</c:v>
                </c:pt>
              </c:numCache>
            </c:numRef>
          </c:val>
          <c:extLst>
            <c:ext xmlns:c16="http://schemas.microsoft.com/office/drawing/2014/chart" uri="{C3380CC4-5D6E-409C-BE32-E72D297353CC}">
              <c16:uniqueId val="{00000000-8614-44AA-9071-E79132F3D907}"/>
            </c:ext>
          </c:extLst>
        </c:ser>
        <c:dLbls>
          <c:dLblPos val="inEnd"/>
          <c:showLegendKey val="0"/>
          <c:showVal val="1"/>
          <c:showCatName val="0"/>
          <c:showSerName val="0"/>
          <c:showPercent val="0"/>
          <c:showBubbleSize val="0"/>
        </c:dLbls>
        <c:gapWidth val="65"/>
        <c:axId val="724925720"/>
        <c:axId val="724928672"/>
      </c:barChart>
      <c:catAx>
        <c:axId val="724925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724928672"/>
        <c:crosses val="autoZero"/>
        <c:auto val="1"/>
        <c:lblAlgn val="ctr"/>
        <c:lblOffset val="100"/>
        <c:noMultiLvlLbl val="0"/>
      </c:catAx>
      <c:valAx>
        <c:axId val="724928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72492572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NZ" sz="1200" baseline="0"/>
              <a:t>The Warehouse </a:t>
            </a:r>
          </a:p>
          <a:p>
            <a:pPr>
              <a:defRPr sz="1200"/>
            </a:pPr>
            <a:r>
              <a:rPr lang="en-NZ" sz="1200" baseline="0"/>
              <a:t>Capital</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Comp'!$B$252</c:f>
              <c:strCache>
                <c:ptCount val="1"/>
                <c:pt idx="0">
                  <c:v>Market Value </c:v>
                </c:pt>
              </c:strCache>
            </c:strRef>
          </c:tx>
          <c:spPr>
            <a:solidFill>
              <a:schemeClr val="accent1">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Comp'!$D$252:$L$252</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932-4F3C-9296-32AB8FA1518B}"/>
            </c:ext>
          </c:extLst>
        </c:ser>
        <c:ser>
          <c:idx val="1"/>
          <c:order val="1"/>
          <c:tx>
            <c:strRef>
              <c:f>'15b-Charts Comp'!$B$253</c:f>
              <c:strCache>
                <c:ptCount val="1"/>
                <c:pt idx="0">
                  <c:v>Operating Capital</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Comp'!$D$251:$L$251</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'15b-Charts Comp'!$D$253:$L$253</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9932-4F3C-9296-32AB8FA1518B}"/>
            </c:ext>
          </c:extLst>
        </c:ser>
        <c:dLbls>
          <c:showLegendKey val="0"/>
          <c:showVal val="0"/>
          <c:showCatName val="0"/>
          <c:showSerName val="0"/>
          <c:showPercent val="0"/>
          <c:showBubbleSize val="0"/>
        </c:dLbls>
        <c:gapWidth val="65"/>
        <c:axId val="527325032"/>
        <c:axId val="527329296"/>
      </c:barChart>
      <c:catAx>
        <c:axId val="5273250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7329296"/>
        <c:crosses val="autoZero"/>
        <c:auto val="1"/>
        <c:lblAlgn val="ctr"/>
        <c:lblOffset val="100"/>
        <c:noMultiLvlLbl val="0"/>
      </c:catAx>
      <c:valAx>
        <c:axId val="527329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NZ"/>
                  <a:t>$'000</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_(* #,##0_);_(* \(#,##0\);_(* &quot;-&quot;??_);_(@_)" sourceLinked="1"/>
        <c:majorTickMark val="none"/>
        <c:minorTickMark val="none"/>
        <c:tickLblPos val="nextTo"/>
        <c:crossAx val="52732503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r>
              <a:rPr lang="en-NZ">
                <a:solidFill>
                  <a:srgbClr val="0070C0"/>
                </a:solidFill>
              </a:rPr>
              <a:t>Briscoe</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lumMod val="75000"/>
                </a:schemeClr>
              </a:solidFill>
              <a:latin typeface="+mn-lt"/>
              <a:ea typeface="+mn-ea"/>
              <a:cs typeface="+mn-cs"/>
            </a:defRPr>
          </a:pPr>
          <a:endParaRPr lang="en-US"/>
        </a:p>
      </c:txPr>
    </c:title>
    <c:autoTitleDeleted val="0"/>
    <c:plotArea>
      <c:layout>
        <c:manualLayout>
          <c:layoutTarget val="inner"/>
          <c:xMode val="edge"/>
          <c:yMode val="edge"/>
          <c:x val="2.5449412579464287E-2"/>
          <c:y val="0.1249987689476965"/>
          <c:w val="0.94401129232517855"/>
          <c:h val="0.79552785721234509"/>
        </c:manualLayout>
      </c:layout>
      <c:barChart>
        <c:barDir val="col"/>
        <c:grouping val="clustered"/>
        <c:varyColors val="0"/>
        <c:ser>
          <c:idx val="0"/>
          <c:order val="0"/>
          <c:spPr>
            <a:solidFill>
              <a:schemeClr val="accent4">
                <a:alpha val="85000"/>
              </a:schemeClr>
            </a:solidFill>
            <a:ln w="9525" cap="flat" cmpd="sng" algn="ctr">
              <a:solidFill>
                <a:schemeClr val="accent1"/>
              </a:solidFill>
              <a:round/>
            </a:ln>
            <a:effectLst/>
          </c:spPr>
          <c:invertIfNegative val="0"/>
          <c:dLbls>
            <c:spPr>
              <a:solidFill>
                <a:schemeClr val="tx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'15c-Charts Stores'!$I$144:$M$144</c:f>
              <c:strCache>
                <c:ptCount val="5"/>
                <c:pt idx="0">
                  <c:v>Market Value</c:v>
                </c:pt>
                <c:pt idx="1">
                  <c:v>Capital</c:v>
                </c:pt>
                <c:pt idx="2">
                  <c:v>MVA</c:v>
                </c:pt>
                <c:pt idx="3">
                  <c:v>CVA</c:v>
                </c:pt>
                <c:pt idx="4">
                  <c:v>FVA</c:v>
                </c:pt>
              </c:strCache>
            </c:strRef>
          </c:cat>
          <c:val>
            <c:numRef>
              <c:f>'15c-Charts Stores'!$I$145:$M$145</c:f>
              <c:numCache>
                <c:formatCode>0%</c:formatCode>
                <c:ptCount val="5"/>
                <c:pt idx="0">
                  <c:v>0</c:v>
                </c:pt>
                <c:pt idx="1">
                  <c:v>0.39760239760239763</c:v>
                </c:pt>
                <c:pt idx="2">
                  <c:v>0.60239760239760243</c:v>
                </c:pt>
                <c:pt idx="3">
                  <c:v>0.5641025641025641</c:v>
                </c:pt>
                <c:pt idx="4">
                  <c:v>3.8295038295038296E-2</c:v>
                </c:pt>
              </c:numCache>
            </c:numRef>
          </c:val>
          <c:extLst>
            <c:ext xmlns:c16="http://schemas.microsoft.com/office/drawing/2014/chart" uri="{C3380CC4-5D6E-409C-BE32-E72D297353CC}">
              <c16:uniqueId val="{00000000-BB28-4849-B820-7182665A5480}"/>
            </c:ext>
          </c:extLst>
        </c:ser>
        <c:dLbls>
          <c:dLblPos val="inEnd"/>
          <c:showLegendKey val="0"/>
          <c:showVal val="1"/>
          <c:showCatName val="0"/>
          <c:showSerName val="0"/>
          <c:showPercent val="0"/>
          <c:showBubbleSize val="0"/>
        </c:dLbls>
        <c:gapWidth val="65"/>
        <c:axId val="390447824"/>
        <c:axId val="390454384"/>
      </c:barChart>
      <c:catAx>
        <c:axId val="3904478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n-US"/>
          </a:p>
        </c:txPr>
        <c:crossAx val="390454384"/>
        <c:crosses val="autoZero"/>
        <c:auto val="1"/>
        <c:lblAlgn val="ctr"/>
        <c:lblOffset val="100"/>
        <c:noMultiLvlLbl val="0"/>
      </c:catAx>
      <c:valAx>
        <c:axId val="390454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9044782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017553569971"/>
          <c:y val="0.19945570250020417"/>
          <c:w val="0.7377751614389082"/>
          <c:h val="0.58329608150353818"/>
        </c:manualLayout>
      </c:layout>
      <c:barChart>
        <c:barDir val="col"/>
        <c:grouping val="clustered"/>
        <c:varyColors val="0"/>
        <c:ser>
          <c:idx val="0"/>
          <c:order val="0"/>
          <c:tx>
            <c:strRef>
              <c:f>'15b-Charts Comp'!$B$316</c:f>
              <c:strCache>
                <c:ptCount val="1"/>
                <c:pt idx="0">
                  <c:v>MVA</c:v>
                </c:pt>
              </c:strCache>
            </c:strRef>
          </c:tx>
          <c:spPr>
            <a:solidFill>
              <a:schemeClr val="tx1"/>
            </a:solidFill>
            <a:ln>
              <a:solidFill>
                <a:schemeClr val="tx1">
                  <a:alpha val="99000"/>
                </a:schemeClr>
              </a:solidFill>
            </a:ln>
            <a:effectLst>
              <a:outerShdw blurRad="40000" dist="23000" dir="5400000" rotWithShape="0">
                <a:srgbClr val="000000">
                  <a:alpha val="35000"/>
                </a:srgbClr>
              </a:outerShdw>
            </a:effectLst>
          </c:spPr>
          <c:invertIfNegative val="0"/>
          <c:trendline>
            <c:spPr>
              <a:ln w="19050" cap="rnd">
                <a:solidFill>
                  <a:schemeClr val="tx1"/>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Comp'!$D$316:$M$316</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Comp'!$B$317</c:f>
              <c:strCache>
                <c:ptCount val="1"/>
                <c:pt idx="0">
                  <c:v>EVA</c:v>
                </c:pt>
              </c:strCache>
            </c:strRef>
          </c:tx>
          <c:spPr>
            <a:ln w="25400" cap="rnd">
              <a:solidFill>
                <a:srgbClr val="0070C0"/>
              </a:solidFill>
              <a:round/>
            </a:ln>
            <a:effectLst>
              <a:outerShdw blurRad="40000" dist="23000" dir="5400000" rotWithShape="0">
                <a:srgbClr val="000000">
                  <a:alpha val="35000"/>
                </a:srgbClr>
              </a:outerShdw>
            </a:effectLst>
          </c:spPr>
          <c:marker>
            <c:symbol val="none"/>
          </c:marker>
          <c:trendline>
            <c:spPr>
              <a:ln w="19050" cap="rnd">
                <a:solidFill>
                  <a:srgbClr val="0070C0"/>
                </a:solidFill>
                <a:prstDash val="sysDash"/>
              </a:ln>
              <a:effectLst/>
            </c:spPr>
            <c:trendlineType val="linear"/>
            <c:dispRSqr val="0"/>
            <c:dispEq val="0"/>
          </c:trendline>
          <c:cat>
            <c:numRef>
              <c:f>'15b-Charts Comp'!$D$315:$M$315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Comp'!$D$317:$M$317</c:f>
              <c:numCache>
                <c:formatCode>_(* #,##0_);_(* \(#,##0\);_(* "-"??_);_(@_)</c:formatCode>
                <c:ptCount val="10"/>
                <c:pt idx="0">
                  <c:v>0</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chemeClr val="bg1">
              <a:lumMod val="75000"/>
            </a:scheme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solidFill>
                      <a:srgbClr val="0070C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solidFill>
          <a:schemeClr val="bg1">
            <a:lumMod val="75000"/>
          </a:schemeClr>
        </a:solidFill>
        <a:ln w="3175">
          <a:noFill/>
        </a:ln>
        <a:effectLst/>
      </c:spPr>
    </c:plotArea>
    <c:plotVisOnly val="1"/>
    <c:dispBlanksAs val="gap"/>
    <c:showDLblsOverMax val="0"/>
  </c:chart>
  <c:spPr>
    <a:solidFill>
      <a:schemeClr val="bg1">
        <a:lumMod val="75000"/>
      </a:schemeClr>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sz="1400">
                <a:solidFill>
                  <a:srgbClr val="0070C0"/>
                </a:solidFill>
              </a:rPr>
              <a:t>Briscoe</a:t>
            </a:r>
          </a:p>
          <a:p>
            <a:pPr>
              <a:defRPr sz="1400"/>
            </a:pPr>
            <a:r>
              <a:rPr lang="en-NZ" sz="1400"/>
              <a:t>Valuation Components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Comp'!$B$459</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Comp'!$D$459:$M$459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48-40DC-AB49-B5A67B39D211}"/>
            </c:ext>
          </c:extLst>
        </c:ser>
        <c:ser>
          <c:idx val="1"/>
          <c:order val="1"/>
          <c:tx>
            <c:strRef>
              <c:f>'15b-Charts Comp'!$B$460</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Comp'!$D$460:$M$460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48-40DC-AB49-B5A67B39D211}"/>
            </c:ext>
          </c:extLst>
        </c:ser>
        <c:ser>
          <c:idx val="2"/>
          <c:order val="2"/>
          <c:tx>
            <c:strRef>
              <c:f>'15b-Charts Comp'!$B$461</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Comp'!$D$458:$M$458</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Comp'!$D$461:$M$461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solidFill>
      <a:schemeClr val="bg1">
        <a:lumMod val="75000"/>
      </a:schemeClr>
    </a:soli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NZ" baseline="0"/>
              <a:t>Valuation </a:t>
            </a:r>
            <a:r>
              <a:rPr lang="en-NZ"/>
              <a:t>Components</a:t>
            </a:r>
          </a:p>
          <a:p>
            <a:pPr>
              <a:defRPr sz="1400"/>
            </a:pPr>
            <a:r>
              <a:rPr lang="en-NZ">
                <a:solidFill>
                  <a:srgbClr val="E60019"/>
                </a:solidFill>
              </a:rPr>
              <a:t>The Warehouse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clustered"/>
        <c:varyColors val="0"/>
        <c:ser>
          <c:idx val="0"/>
          <c:order val="0"/>
          <c:tx>
            <c:strRef>
              <c:f>'15b-Charts Comp'!$B$432</c:f>
              <c:strCache>
                <c:ptCount val="1"/>
                <c:pt idx="0">
                  <c:v>Future Value Added</c:v>
                </c:pt>
              </c:strCache>
            </c:strRef>
          </c:tx>
          <c:spPr>
            <a:solidFill>
              <a:schemeClr val="accent2">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Comp'!$D$432:$M$432</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F48-40DC-AB49-B5A67B39D211}"/>
            </c:ext>
          </c:extLst>
        </c:ser>
        <c:ser>
          <c:idx val="1"/>
          <c:order val="1"/>
          <c:tx>
            <c:strRef>
              <c:f>'15b-Charts Comp'!$B$433</c:f>
              <c:strCache>
                <c:ptCount val="1"/>
                <c:pt idx="0">
                  <c:v>Current Value Added</c:v>
                </c:pt>
              </c:strCache>
            </c:strRef>
          </c:tx>
          <c:spPr>
            <a:solidFill>
              <a:schemeClr val="accent4">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Comp'!$D$433:$M$433</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F48-40DC-AB49-B5A67B39D211}"/>
            </c:ext>
          </c:extLst>
        </c:ser>
        <c:ser>
          <c:idx val="2"/>
          <c:order val="2"/>
          <c:tx>
            <c:strRef>
              <c:f>'15b-Charts Comp'!$B$434</c:f>
              <c:strCache>
                <c:ptCount val="1"/>
                <c:pt idx="0">
                  <c:v>Capital</c:v>
                </c:pt>
              </c:strCache>
            </c:strRef>
          </c:tx>
          <c:spPr>
            <a:solidFill>
              <a:schemeClr val="accent6">
                <a:alpha val="85000"/>
              </a:schemeClr>
            </a:solidFill>
            <a:ln w="9525" cap="flat" cmpd="sng" algn="ctr">
              <a:solidFill>
                <a:schemeClr val="lt1">
                  <a:alpha val="50000"/>
                </a:schemeClr>
              </a:solidFill>
              <a:round/>
            </a:ln>
            <a:effectLst/>
          </c:spPr>
          <c:invertIfNegative val="0"/>
          <c:cat>
            <c:numRef>
              <c:f>'15b-Charts Comp'!$D$431:$M$431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Comp'!$D$434:$M$434</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FF48-40DC-AB49-B5A67B39D211}"/>
            </c:ext>
          </c:extLst>
        </c:ser>
        <c:dLbls>
          <c:showLegendKey val="0"/>
          <c:showVal val="0"/>
          <c:showCatName val="0"/>
          <c:showSerName val="0"/>
          <c:showPercent val="0"/>
          <c:showBubbleSize val="0"/>
        </c:dLbls>
        <c:gapWidth val="65"/>
        <c:axId val="529933280"/>
        <c:axId val="529930328"/>
      </c:barChart>
      <c:catAx>
        <c:axId val="5299332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9930328"/>
        <c:crosses val="autoZero"/>
        <c:auto val="1"/>
        <c:lblAlgn val="ctr"/>
        <c:lblOffset val="100"/>
        <c:noMultiLvlLbl val="0"/>
      </c:catAx>
      <c:valAx>
        <c:axId val="529930328"/>
        <c:scaling>
          <c:orientation val="minMax"/>
        </c:scaling>
        <c:delete val="1"/>
        <c:axPos val="l"/>
        <c:numFmt formatCode="0%" sourceLinked="1"/>
        <c:majorTickMark val="none"/>
        <c:minorTickMark val="none"/>
        <c:tickLblPos val="nextTo"/>
        <c:crossAx val="52993328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80597617605493"/>
          <c:y val="0.1971938211795142"/>
          <c:w val="0.73882062819070693"/>
          <c:h val="0.58802161603421688"/>
        </c:manualLayout>
      </c:layout>
      <c:barChart>
        <c:barDir val="col"/>
        <c:grouping val="clustered"/>
        <c:varyColors val="0"/>
        <c:ser>
          <c:idx val="0"/>
          <c:order val="0"/>
          <c:tx>
            <c:strRef>
              <c:f>'15b-Charts Comp'!$B$290</c:f>
              <c:strCache>
                <c:ptCount val="1"/>
                <c:pt idx="0">
                  <c:v>MVA</c:v>
                </c:pt>
              </c:strCache>
            </c:strRef>
          </c:tx>
          <c:spPr>
            <a:solidFill>
              <a:sysClr val="windowText" lastClr="000000"/>
            </a:solidFill>
            <a:ln w="6350">
              <a:solidFill>
                <a:srgbClr val="000000"/>
              </a:solidFill>
            </a:ln>
            <a:effectLst>
              <a:outerShdw blurRad="40000" dist="23000" dir="5400000" rotWithShape="0">
                <a:srgbClr val="000000">
                  <a:alpha val="35000"/>
                </a:srgbClr>
              </a:outerShdw>
            </a:effectLst>
          </c:spPr>
          <c:invertIfNegative val="0"/>
          <c:trendline>
            <c:spPr>
              <a:ln w="19050" cap="rnd">
                <a:solidFill>
                  <a:sysClr val="windowText" lastClr="000000"/>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Comp'!$D$290:$M$290</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BE-41D9-B86F-C61887FFED7A}"/>
            </c:ext>
          </c:extLst>
        </c:ser>
        <c:dLbls>
          <c:showLegendKey val="0"/>
          <c:showVal val="0"/>
          <c:showCatName val="0"/>
          <c:showSerName val="0"/>
          <c:showPercent val="0"/>
          <c:showBubbleSize val="0"/>
        </c:dLbls>
        <c:gapWidth val="30"/>
        <c:overlap val="-27"/>
        <c:axId val="644856656"/>
        <c:axId val="644859608"/>
      </c:barChart>
      <c:lineChart>
        <c:grouping val="standard"/>
        <c:varyColors val="0"/>
        <c:ser>
          <c:idx val="1"/>
          <c:order val="1"/>
          <c:tx>
            <c:strRef>
              <c:f>'15b-Charts Comp'!$B$291</c:f>
              <c:strCache>
                <c:ptCount val="1"/>
                <c:pt idx="0">
                  <c:v>EVA</c:v>
                </c:pt>
              </c:strCache>
            </c:strRef>
          </c:tx>
          <c:spPr>
            <a:ln w="25400" cap="rnd">
              <a:solidFill>
                <a:srgbClr val="E60019"/>
              </a:solidFill>
              <a:round/>
            </a:ln>
            <a:effectLst>
              <a:outerShdw blurRad="40000" dist="23000" dir="5400000" rotWithShape="0">
                <a:srgbClr val="000000">
                  <a:alpha val="35000"/>
                </a:srgbClr>
              </a:outerShdw>
            </a:effectLst>
          </c:spPr>
          <c:marker>
            <c:symbol val="none"/>
          </c:marker>
          <c:trendline>
            <c:spPr>
              <a:ln w="19050" cap="rnd">
                <a:solidFill>
                  <a:srgbClr val="C0504D"/>
                </a:solidFill>
                <a:prstDash val="dash"/>
              </a:ln>
              <a:effectLst/>
            </c:spPr>
            <c:trendlineType val="linear"/>
            <c:dispRSqr val="0"/>
            <c:dispEq val="0"/>
          </c:trendline>
          <c:cat>
            <c:numRef>
              <c:f>'15b-Charts Comp'!$D$289:$M$289</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Comp'!$D$291:$M$291</c:f>
              <c:numCache>
                <c:formatCode>_(* #,##0_);_(* \(#,##0\);_(* "-"??_);_(@_)</c:formatCode>
                <c:ptCount val="10"/>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1-D4BE-41D9-B86F-C61887FFED7A}"/>
            </c:ext>
          </c:extLst>
        </c:ser>
        <c:dLbls>
          <c:showLegendKey val="0"/>
          <c:showVal val="0"/>
          <c:showCatName val="0"/>
          <c:showSerName val="0"/>
          <c:showPercent val="0"/>
          <c:showBubbleSize val="0"/>
        </c:dLbls>
        <c:marker val="1"/>
        <c:smooth val="0"/>
        <c:axId val="527293216"/>
        <c:axId val="527292888"/>
      </c:lineChart>
      <c:catAx>
        <c:axId val="644856656"/>
        <c:scaling>
          <c:orientation val="minMax"/>
        </c:scaling>
        <c:delete val="0"/>
        <c:axPos val="b"/>
        <c:numFmt formatCode="General" sourceLinked="1"/>
        <c:majorTickMark val="out"/>
        <c:minorTickMark val="none"/>
        <c:tickLblPos val="nextTo"/>
        <c:spPr>
          <a:solidFill>
            <a:sysClr val="window" lastClr="FFFFFF">
              <a:lumMod val="75000"/>
            </a:sysClr>
          </a:solid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4859608"/>
        <c:crosses val="autoZero"/>
        <c:auto val="1"/>
        <c:lblAlgn val="ctr"/>
        <c:lblOffset val="100"/>
        <c:noMultiLvlLbl val="0"/>
      </c:catAx>
      <c:valAx>
        <c:axId val="644859608"/>
        <c:scaling>
          <c:orientation val="minMax"/>
        </c:scaling>
        <c:delete val="0"/>
        <c:axPos val="l"/>
        <c:majorGridlines>
          <c:spPr>
            <a:ln w="3175" cap="flat" cmpd="sng" algn="ctr">
              <a:solidFill>
                <a:sysClr val="window" lastClr="FFFFFF"/>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a:solidFill>
                      <a:schemeClr val="tx1"/>
                    </a:solidFill>
                  </a:rPr>
                  <a:t>MVA (bar)</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44856656"/>
        <c:crosses val="autoZero"/>
        <c:crossBetween val="between"/>
      </c:valAx>
      <c:valAx>
        <c:axId val="527292888"/>
        <c:scaling>
          <c:orientation val="minMax"/>
        </c:scaling>
        <c:delete val="0"/>
        <c:axPos val="r"/>
        <c:title>
          <c:tx>
            <c:rich>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r>
                  <a:rPr lang="en-US">
                    <a:solidFill>
                      <a:srgbClr val="FF0000"/>
                    </a:solidFill>
                  </a:rPr>
                  <a:t>EVA (line)</a:t>
                </a:r>
              </a:p>
            </c:rich>
          </c:tx>
          <c:overlay val="0"/>
          <c:spPr>
            <a:noFill/>
            <a:ln>
              <a:noFill/>
            </a:ln>
            <a:effectLst/>
          </c:spPr>
          <c:txPr>
            <a:bodyPr rot="-5400000" spcFirstLastPara="1" vertOverflow="ellipsis" vert="horz" wrap="square" anchor="ctr" anchorCtr="1"/>
            <a:lstStyle/>
            <a:p>
              <a:pPr>
                <a:defRPr sz="900" b="1" i="0" u="none" strike="noStrike" kern="1200" baseline="0">
                  <a:solidFill>
                    <a:srgbClr val="FF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27293216"/>
        <c:crosses val="max"/>
        <c:crossBetween val="between"/>
      </c:valAx>
      <c:catAx>
        <c:axId val="527293216"/>
        <c:scaling>
          <c:orientation val="minMax"/>
        </c:scaling>
        <c:delete val="1"/>
        <c:axPos val="b"/>
        <c:numFmt formatCode="General" sourceLinked="1"/>
        <c:majorTickMark val="none"/>
        <c:minorTickMark val="none"/>
        <c:tickLblPos val="nextTo"/>
        <c:crossAx val="527292888"/>
        <c:crosses val="autoZero"/>
        <c:auto val="1"/>
        <c:lblAlgn val="ctr"/>
        <c:lblOffset val="100"/>
        <c:noMultiLvlLbl val="0"/>
      </c:catAx>
      <c:spPr>
        <a:noFill/>
        <a:ln w="3175">
          <a:noFill/>
        </a:ln>
        <a:effectLst/>
      </c:spPr>
    </c:plotArea>
    <c:plotVisOnly val="1"/>
    <c:dispBlanksAs val="gap"/>
    <c:showDLblsOverMax val="0"/>
  </c:chart>
  <c:spPr>
    <a:solidFill>
      <a:sysClr val="window" lastClr="FFFFFF">
        <a:lumMod val="75000"/>
      </a:sys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880568767703421E-2"/>
          <c:y val="0.1635194910646941"/>
          <c:w val="0.82439134601719277"/>
          <c:h val="0.77090899103669397"/>
        </c:manualLayout>
      </c:layout>
      <c:barChart>
        <c:barDir val="col"/>
        <c:grouping val="clustered"/>
        <c:varyColors val="0"/>
        <c:ser>
          <c:idx val="0"/>
          <c:order val="0"/>
          <c:tx>
            <c:strRef>
              <c:f>'15b-Charts Comp'!$B$153</c:f>
              <c:strCache>
                <c:ptCount val="1"/>
                <c:pt idx="0">
                  <c:v>Economic value added</c:v>
                </c:pt>
              </c:strCache>
            </c:strRef>
          </c:tx>
          <c:spPr>
            <a:solidFill>
              <a:srgbClr val="FFC000"/>
            </a:solidFill>
            <a:ln>
              <a:solidFill>
                <a:schemeClr val="accent1"/>
              </a:solidFill>
            </a:ln>
            <a:effectLst/>
          </c:spPr>
          <c:invertIfNegative val="1"/>
          <c:dPt>
            <c:idx val="6"/>
            <c:invertIfNegative val="1"/>
            <c:bubble3D val="0"/>
            <c:spPr>
              <a:solidFill>
                <a:srgbClr val="C00000"/>
              </a:solidFill>
              <a:ln>
                <a:solidFill>
                  <a:srgbClr val="C00000"/>
                </a:solidFill>
              </a:ln>
              <a:effectLst/>
            </c:spPr>
            <c:extLst>
              <c:ext xmlns:c16="http://schemas.microsoft.com/office/drawing/2014/chart" uri="{C3380CC4-5D6E-409C-BE32-E72D297353CC}">
                <c16:uniqueId val="{00000005-2E24-4395-BBEC-90D4E4B584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'15b-Charts Comp'!$C$152:$I$152</c15:sqref>
                  </c15:fullRef>
                </c:ext>
              </c:extLst>
              <c:f>'15b-Charts Comp'!$D$152:$I$152</c:f>
              <c:numCache>
                <c:formatCode>General</c:formatCode>
                <c:ptCount val="6"/>
                <c:pt idx="0">
                  <c:v>2013</c:v>
                </c:pt>
                <c:pt idx="1">
                  <c:v>2014</c:v>
                </c:pt>
                <c:pt idx="2">
                  <c:v>2015</c:v>
                </c:pt>
                <c:pt idx="3">
                  <c:v>2016</c:v>
                </c:pt>
                <c:pt idx="4">
                  <c:v>2017</c:v>
                </c:pt>
                <c:pt idx="5">
                  <c:v>2018</c:v>
                </c:pt>
              </c:numCache>
            </c:numRef>
          </c:cat>
          <c:val>
            <c:numRef>
              <c:extLst>
                <c:ext xmlns:c15="http://schemas.microsoft.com/office/drawing/2012/chart" uri="{02D57815-91ED-43cb-92C2-25804820EDAC}">
                  <c15:fullRef>
                    <c15:sqref>'15b-Charts Comp'!$C$153:$I$153</c15:sqref>
                  </c15:fullRef>
                </c:ext>
              </c:extLst>
              <c:f>'15b-Charts Comp'!$D$153:$I$153</c:f>
              <c:numCache>
                <c:formatCode>_-* #,##0_-;\-* #,##0_-;_-* "-"??_-;_-@_-</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a:solidFill>
                      <a:schemeClr val="accent1"/>
                    </a:solidFill>
                  </a:ln>
                  <a:effectLst/>
                </c14:spPr>
              </c14:invertSolidFillFmt>
            </c:ext>
            <c:ext xmlns:c16="http://schemas.microsoft.com/office/drawing/2014/chart" uri="{C3380CC4-5D6E-409C-BE32-E72D297353CC}">
              <c16:uniqueId val="{00000000-5A1B-4A31-A723-2C9D7740FF56}"/>
            </c:ext>
          </c:extLst>
        </c:ser>
        <c:dLbls>
          <c:dLblPos val="outEnd"/>
          <c:showLegendKey val="0"/>
          <c:showVal val="1"/>
          <c:showCatName val="0"/>
          <c:showSerName val="0"/>
          <c:showPercent val="0"/>
          <c:showBubbleSize val="0"/>
        </c:dLbls>
        <c:gapWidth val="10"/>
        <c:overlap val="-27"/>
        <c:axId val="718273384"/>
        <c:axId val="718270760"/>
      </c:barChart>
      <c:catAx>
        <c:axId val="7182733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270760"/>
        <c:crosses val="autoZero"/>
        <c:auto val="1"/>
        <c:lblAlgn val="ctr"/>
        <c:lblOffset val="100"/>
        <c:noMultiLvlLbl val="0"/>
      </c:catAx>
      <c:valAx>
        <c:axId val="718270760"/>
        <c:scaling>
          <c:orientation val="minMax"/>
        </c:scaling>
        <c:delete val="1"/>
        <c:axPos val="l"/>
        <c:majorGridlines>
          <c:spPr>
            <a:ln w="3175" cap="flat" cmpd="sng" algn="ctr">
              <a:solidFill>
                <a:schemeClr val="bg1"/>
              </a:solidFill>
              <a:round/>
            </a:ln>
            <a:effectLst/>
          </c:spPr>
        </c:majorGridlines>
        <c:numFmt formatCode="0%" sourceLinked="0"/>
        <c:majorTickMark val="out"/>
        <c:minorTickMark val="none"/>
        <c:tickLblPos val="nextTo"/>
        <c:crossAx val="718273384"/>
        <c:crosses val="autoZero"/>
        <c:crossBetween val="between"/>
      </c:valAx>
      <c:spPr>
        <a:solidFill>
          <a:schemeClr val="bg1">
            <a:lumMod val="75000"/>
          </a:schemeClr>
        </a:solidFill>
        <a:ln w="9525">
          <a:noFill/>
        </a:ln>
        <a:effectLst/>
      </c:spPr>
    </c:plotArea>
    <c:plotVisOnly val="1"/>
    <c:dispBlanksAs val="gap"/>
    <c:showDLblsOverMax val="0"/>
  </c:chart>
  <c:spPr>
    <a:solidFill>
      <a:schemeClr val="bg1">
        <a:lumMod val="7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97039398530299"/>
          <c:y val="0.21117910835468148"/>
          <c:w val="0.82457425015901786"/>
          <c:h val="0.64235617008659662"/>
        </c:manualLayout>
      </c:layout>
      <c:barChart>
        <c:barDir val="col"/>
        <c:grouping val="clustered"/>
        <c:varyColors val="0"/>
        <c:ser>
          <c:idx val="0"/>
          <c:order val="0"/>
          <c:tx>
            <c:strRef>
              <c:f>'15b-Charts Comp'!$B$262:$C$262</c:f>
              <c:strCache>
                <c:ptCount val="2"/>
                <c:pt idx="0">
                  <c:v>The Warehouse</c:v>
                </c:pt>
              </c:strCache>
            </c:strRef>
          </c:tx>
          <c:spPr>
            <a:solidFill>
              <a:srgbClr val="FF000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Comp'!$D$262:$M$262</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FFF-41C9-BE51-67186CF430E9}"/>
            </c:ext>
          </c:extLst>
        </c:ser>
        <c:ser>
          <c:idx val="1"/>
          <c:order val="1"/>
          <c:tx>
            <c:strRef>
              <c:f>'15b-Charts Comp'!$B$263:$C$263</c:f>
              <c:strCache>
                <c:ptCount val="2"/>
                <c:pt idx="0">
                  <c:v>Briscoe Group</c:v>
                </c:pt>
              </c:strCache>
            </c:strRef>
          </c:tx>
          <c:spPr>
            <a:solidFill>
              <a:srgbClr val="0070C0"/>
            </a:solidFill>
            <a:ln>
              <a:noFill/>
            </a:ln>
            <a:effectLst/>
          </c:spPr>
          <c:invertIfNegative val="0"/>
          <c:cat>
            <c:numRef>
              <c:f>'15b-Charts Comp'!$D$261:$M$261</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'15b-Charts Comp'!$D$263:$M$263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FFF-41C9-BE51-67186CF430E9}"/>
            </c:ext>
          </c:extLst>
        </c:ser>
        <c:dLbls>
          <c:showLegendKey val="0"/>
          <c:showVal val="0"/>
          <c:showCatName val="0"/>
          <c:showSerName val="0"/>
          <c:showPercent val="0"/>
          <c:showBubbleSize val="0"/>
        </c:dLbls>
        <c:gapWidth val="30"/>
        <c:overlap val="-27"/>
        <c:axId val="666449952"/>
        <c:axId val="666452248"/>
      </c:barChart>
      <c:catAx>
        <c:axId val="6664499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666452248"/>
        <c:crosses val="autoZero"/>
        <c:auto val="1"/>
        <c:lblAlgn val="ctr"/>
        <c:lblOffset val="100"/>
        <c:noMultiLvlLbl val="0"/>
      </c:catAx>
      <c:valAx>
        <c:axId val="666452248"/>
        <c:scaling>
          <c:orientation val="minMax"/>
        </c:scaling>
        <c:delete val="0"/>
        <c:axPos val="l"/>
        <c:majorGridlines>
          <c:spPr>
            <a:ln w="3175" cap="flat" cmpd="sng" algn="ctr">
              <a:solidFill>
                <a:schemeClr val="bg1"/>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6449952"/>
        <c:crosses val="autoZero"/>
        <c:crossBetween val="between"/>
      </c:valAx>
      <c:spPr>
        <a:solidFill>
          <a:schemeClr val="bg1">
            <a:lumMod val="75000"/>
          </a:schemeClr>
        </a:solidFill>
        <a:ln w="15875">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523709585083701"/>
          <c:y val="8.8259303404687656E-2"/>
          <c:w val="0.80579514576214017"/>
          <c:h val="0.74864555798436849"/>
        </c:manualLayout>
      </c:layout>
      <c:barChart>
        <c:barDir val="col"/>
        <c:grouping val="clustered"/>
        <c:varyColors val="0"/>
        <c:ser>
          <c:idx val="0"/>
          <c:order val="0"/>
          <c:tx>
            <c:strRef>
              <c:f>'15b-Charts Comp'!$B$63:$C$63</c:f>
              <c:strCache>
                <c:ptCount val="2"/>
                <c:pt idx="0">
                  <c:v>The Warehouse</c:v>
                </c:pt>
              </c:strCache>
            </c:strRef>
          </c:tx>
          <c:spPr>
            <a:solidFill>
              <a:srgbClr val="FF0000"/>
            </a:solidFill>
            <a:ln>
              <a:noFill/>
            </a:ln>
            <a:effectLst/>
          </c:spPr>
          <c:invertIfNegative val="0"/>
          <c:trendline>
            <c:spPr>
              <a:ln w="25400" cap="rnd">
                <a:solidFill>
                  <a:schemeClr val="accent2"/>
                </a:solidFill>
                <a:prstDash val="sysDot"/>
              </a:ln>
              <a:effectLst/>
            </c:spPr>
            <c:trendlineType val="linear"/>
            <c:dispRSqr val="0"/>
            <c:dispEq val="0"/>
          </c:trendline>
          <c:val>
            <c:numRef>
              <c:f>'15b-Charts Comp'!$D$63:$I$63</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0-D3CA-4EA8-B09F-0CB0312CC6E8}"/>
            </c:ext>
          </c:extLst>
        </c:ser>
        <c:ser>
          <c:idx val="1"/>
          <c:order val="1"/>
          <c:tx>
            <c:strRef>
              <c:f>'15b-Charts Comp'!$B$64:$C$64</c:f>
              <c:strCache>
                <c:ptCount val="2"/>
                <c:pt idx="0">
                  <c:v>Briscoe Group</c:v>
                </c:pt>
              </c:strCache>
            </c:strRef>
          </c:tx>
          <c:spPr>
            <a:solidFill>
              <a:srgbClr val="0070C0"/>
            </a:solidFill>
            <a:ln>
              <a:noFill/>
            </a:ln>
            <a:effectLst/>
          </c:spPr>
          <c:invertIfNegative val="0"/>
          <c:trendline>
            <c:spPr>
              <a:ln w="25400" cap="rnd">
                <a:solidFill>
                  <a:schemeClr val="accent4"/>
                </a:solidFill>
                <a:prstDash val="sysDot"/>
              </a:ln>
              <a:effectLst/>
            </c:spPr>
            <c:trendlineType val="linear"/>
            <c:dispRSqr val="0"/>
            <c:dispEq val="0"/>
          </c:trendline>
          <c:val>
            <c:numRef>
              <c:f>'15b-Charts Comp'!$D$64:$I$64</c:f>
              <c:numCache>
                <c:formatCode>0.0%</c:formatCode>
                <c:ptCount val="6"/>
                <c:pt idx="0">
                  <c:v>0</c:v>
                </c:pt>
                <c:pt idx="1">
                  <c:v>0</c:v>
                </c:pt>
                <c:pt idx="2">
                  <c:v>0</c:v>
                </c:pt>
                <c:pt idx="3">
                  <c:v>0</c:v>
                </c:pt>
                <c:pt idx="4">
                  <c:v>0</c:v>
                </c:pt>
                <c:pt idx="5">
                  <c:v>0</c:v>
                </c:pt>
              </c:numCache>
            </c:numRef>
          </c:val>
          <c:extLst>
            <c:ext xmlns:c15="http://schemas.microsoft.com/office/drawing/2012/chart" uri="{02D57815-91ED-43cb-92C2-25804820EDAC}">
              <c15:filteredCategoryTitle>
                <c15:cat>
                  <c:multiLvlStrRef>
                    <c:extLst>
                      <c:ext uri="{02D57815-91ED-43cb-92C2-25804820EDAC}">
                        <c15:formulaRef>
                          <c15:sqref>'15b-Charts Comp'!$D$62:$I$62</c15:sqref>
                        </c15:formulaRef>
                      </c:ext>
                    </c:extLst>
                  </c:multiLvlStrRef>
                </c15:cat>
              </c15:filteredCategoryTitle>
            </c:ext>
            <c:ext xmlns:c16="http://schemas.microsoft.com/office/drawing/2014/chart" uri="{C3380CC4-5D6E-409C-BE32-E72D297353CC}">
              <c16:uniqueId val="{00000001-D3CA-4EA8-B09F-0CB0312CC6E8}"/>
            </c:ext>
          </c:extLst>
        </c:ser>
        <c:dLbls>
          <c:showLegendKey val="0"/>
          <c:showVal val="0"/>
          <c:showCatName val="0"/>
          <c:showSerName val="0"/>
          <c:showPercent val="0"/>
          <c:showBubbleSize val="0"/>
        </c:dLbls>
        <c:gapWidth val="10"/>
        <c:overlap val="-27"/>
        <c:axId val="678909840"/>
        <c:axId val="678903936"/>
      </c:barChart>
      <c:catAx>
        <c:axId val="678909840"/>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3936"/>
        <c:crosses val="autoZero"/>
        <c:auto val="1"/>
        <c:lblAlgn val="ctr"/>
        <c:lblOffset val="100"/>
        <c:noMultiLvlLbl val="1"/>
      </c:catAx>
      <c:valAx>
        <c:axId val="678903936"/>
        <c:scaling>
          <c:orientation val="minMax"/>
        </c:scaling>
        <c:delete val="0"/>
        <c:axPos val="l"/>
        <c:majorGridlines>
          <c:spPr>
            <a:ln w="3175" cap="flat" cmpd="sng" algn="ctr">
              <a:solidFill>
                <a:sysClr val="window" lastClr="FFFFFF"/>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78909840"/>
        <c:crosses val="autoZero"/>
        <c:crossBetween val="between"/>
      </c:valAx>
      <c:spPr>
        <a:noFill/>
        <a:ln>
          <a:noFill/>
        </a:ln>
        <a:effectLst/>
      </c:spPr>
    </c:plotArea>
    <c:plotVisOnly val="1"/>
    <c:dispBlanksAs val="gap"/>
    <c:showDLblsOverMax val="0"/>
  </c:chart>
  <c:spPr>
    <a:solidFill>
      <a:schemeClr val="bg1">
        <a:lumMod val="75000"/>
      </a:schemeClr>
    </a:solidFill>
    <a:ln w="1587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ustomXml" Target="../ink/ink5.xml"/><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3.png"/><Relationship Id="rId1" Type="http://schemas.openxmlformats.org/officeDocument/2006/relationships/customXml" Target="../ink/ink1.xml"/><Relationship Id="rId6" Type="http://schemas.openxmlformats.org/officeDocument/2006/relationships/image" Target="../media/image5.png"/><Relationship Id="rId5" Type="http://schemas.openxmlformats.org/officeDocument/2006/relationships/customXml" Target="../ink/ink3.xml"/><Relationship Id="rId4" Type="http://schemas.openxmlformats.org/officeDocument/2006/relationships/image" Target="../media/image4.png"/><Relationship Id="rId9" Type="http://schemas.openxmlformats.org/officeDocument/2006/relationships/customXml" Target="../ink/ink6.xml"/></Relationships>
</file>

<file path=xl/drawings/_rels/drawing11.xml.rels><?xml version="1.0" encoding="UTF-8" standalone="yes"?>
<Relationships xmlns="http://schemas.openxmlformats.org/package/2006/relationships"><Relationship Id="rId8" Type="http://schemas.openxmlformats.org/officeDocument/2006/relationships/customXml" Target="../ink/ink93.xml"/><Relationship Id="rId3" Type="http://schemas.openxmlformats.org/officeDocument/2006/relationships/customXml" Target="../ink/ink90.xml"/><Relationship Id="rId7" Type="http://schemas.openxmlformats.org/officeDocument/2006/relationships/chart" Target="../charts/chart20.xml"/><Relationship Id="rId2" Type="http://schemas.openxmlformats.org/officeDocument/2006/relationships/customXml" Target="../ink/ink89.xml"/><Relationship Id="rId1" Type="http://schemas.openxmlformats.org/officeDocument/2006/relationships/customXml" Target="../ink/ink88.xml"/><Relationship Id="rId6" Type="http://schemas.openxmlformats.org/officeDocument/2006/relationships/chart" Target="../charts/chart19.xml"/><Relationship Id="rId5" Type="http://schemas.openxmlformats.org/officeDocument/2006/relationships/customXml" Target="../ink/ink92.xml"/><Relationship Id="rId10" Type="http://schemas.openxmlformats.org/officeDocument/2006/relationships/customXml" Target="../ink/ink94.xml"/><Relationship Id="rId4" Type="http://schemas.openxmlformats.org/officeDocument/2006/relationships/customXml" Target="../ink/ink91.xml"/><Relationship Id="rId9"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3" Type="http://schemas.openxmlformats.org/officeDocument/2006/relationships/customXml" Target="../ink/ink95.xml"/><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9.png"/><Relationship Id="rId4"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12" Type="http://schemas.openxmlformats.org/officeDocument/2006/relationships/image" Target="../media/image29.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11" Type="http://schemas.openxmlformats.org/officeDocument/2006/relationships/image" Target="../media/image28.emf"/><Relationship Id="rId5" Type="http://schemas.openxmlformats.org/officeDocument/2006/relationships/image" Target="../media/image22.emf"/><Relationship Id="rId10" Type="http://schemas.openxmlformats.org/officeDocument/2006/relationships/image" Target="../media/image27.emf"/><Relationship Id="rId4" Type="http://schemas.openxmlformats.org/officeDocument/2006/relationships/image" Target="../media/image21.emf"/><Relationship Id="rId9" Type="http://schemas.openxmlformats.org/officeDocument/2006/relationships/image" Target="../media/image2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customXml" Target="../ink/ink7.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6" Type="http://schemas.openxmlformats.org/officeDocument/2006/relationships/customXml" Target="../ink/ink26.xml"/><Relationship Id="rId117" Type="http://schemas.openxmlformats.org/officeDocument/2006/relationships/customXml" Target="../ink/ink53.xml"/><Relationship Id="rId21" Type="http://schemas.openxmlformats.org/officeDocument/2006/relationships/customXml" Target="../ink/ink21.xml"/><Relationship Id="rId34" Type="http://schemas.openxmlformats.org/officeDocument/2006/relationships/customXml" Target="../ink/ink34.xml"/><Relationship Id="rId42" Type="http://schemas.openxmlformats.org/officeDocument/2006/relationships/customXml" Target="../ink/ink42.xml"/><Relationship Id="rId47" Type="http://schemas.openxmlformats.org/officeDocument/2006/relationships/customXml" Target="../ink/ink47.xml"/><Relationship Id="rId112" Type="http://schemas.openxmlformats.org/officeDocument/2006/relationships/customXml" Target="../ink/ink49.xml"/><Relationship Id="rId120" Type="http://schemas.openxmlformats.org/officeDocument/2006/relationships/customXml" Target="../ink/ink56.xml"/><Relationship Id="rId125" Type="http://schemas.openxmlformats.org/officeDocument/2006/relationships/chart" Target="../charts/chart10.xml"/><Relationship Id="rId133" Type="http://schemas.openxmlformats.org/officeDocument/2006/relationships/customXml" Target="../ink/ink61.xml"/><Relationship Id="rId138" Type="http://schemas.openxmlformats.org/officeDocument/2006/relationships/chart" Target="../charts/chart16.xml"/><Relationship Id="rId141" Type="http://schemas.openxmlformats.org/officeDocument/2006/relationships/customXml" Target="../ink/ink68.xml"/><Relationship Id="rId146" Type="http://schemas.openxmlformats.org/officeDocument/2006/relationships/customXml" Target="../ink/ink73.xml"/><Relationship Id="rId154" Type="http://schemas.openxmlformats.org/officeDocument/2006/relationships/customXml" Target="../ink/ink80.xml"/><Relationship Id="rId159" Type="http://schemas.openxmlformats.org/officeDocument/2006/relationships/customXml" Target="../ink/ink85.xml"/><Relationship Id="rId7" Type="http://schemas.openxmlformats.org/officeDocument/2006/relationships/customXml" Target="../ink/ink11.xml"/><Relationship Id="rId162" Type="http://schemas.openxmlformats.org/officeDocument/2006/relationships/chart" Target="../charts/chart18.xml"/><Relationship Id="rId2" Type="http://schemas.openxmlformats.org/officeDocument/2006/relationships/chart" Target="../charts/chart2.xml"/><Relationship Id="rId16" Type="http://schemas.openxmlformats.org/officeDocument/2006/relationships/chart" Target="../charts/chart6.xml"/><Relationship Id="rId29" Type="http://schemas.openxmlformats.org/officeDocument/2006/relationships/customXml" Target="../ink/ink29.xml"/><Relationship Id="rId11" Type="http://schemas.openxmlformats.org/officeDocument/2006/relationships/chart" Target="../charts/chart5.xml"/><Relationship Id="rId24" Type="http://schemas.openxmlformats.org/officeDocument/2006/relationships/customXml" Target="../ink/ink24.xml"/><Relationship Id="rId32" Type="http://schemas.openxmlformats.org/officeDocument/2006/relationships/customXml" Target="../ink/ink32.xml"/><Relationship Id="rId37" Type="http://schemas.openxmlformats.org/officeDocument/2006/relationships/customXml" Target="../ink/ink37.xml"/><Relationship Id="rId40" Type="http://schemas.openxmlformats.org/officeDocument/2006/relationships/customXml" Target="../ink/ink40.xml"/><Relationship Id="rId45" Type="http://schemas.openxmlformats.org/officeDocument/2006/relationships/customXml" Target="../ink/ink45.xml"/><Relationship Id="rId115" Type="http://schemas.openxmlformats.org/officeDocument/2006/relationships/customXml" Target="../ink/ink51.xml"/><Relationship Id="rId123" Type="http://schemas.openxmlformats.org/officeDocument/2006/relationships/chart" Target="../charts/chart8.xml"/><Relationship Id="rId128" Type="http://schemas.openxmlformats.org/officeDocument/2006/relationships/chart" Target="../charts/chart13.xml"/><Relationship Id="rId131" Type="http://schemas.openxmlformats.org/officeDocument/2006/relationships/chart" Target="../charts/chart15.xml"/><Relationship Id="rId136" Type="http://schemas.openxmlformats.org/officeDocument/2006/relationships/customXml" Target="../ink/ink64.xml"/><Relationship Id="rId144" Type="http://schemas.openxmlformats.org/officeDocument/2006/relationships/customXml" Target="../ink/ink71.xml"/><Relationship Id="rId149" Type="http://schemas.openxmlformats.org/officeDocument/2006/relationships/customXml" Target="../ink/ink76.xml"/><Relationship Id="rId157" Type="http://schemas.openxmlformats.org/officeDocument/2006/relationships/customXml" Target="../ink/ink83.xml"/><Relationship Id="rId5" Type="http://schemas.openxmlformats.org/officeDocument/2006/relationships/customXml" Target="../ink/ink10.xml"/><Relationship Id="rId152" Type="http://schemas.openxmlformats.org/officeDocument/2006/relationships/customXml" Target="../ink/ink78.xml"/><Relationship Id="rId160" Type="http://schemas.openxmlformats.org/officeDocument/2006/relationships/customXml" Target="../ink/ink86.xml"/><Relationship Id="rId19" Type="http://schemas.openxmlformats.org/officeDocument/2006/relationships/chart" Target="../charts/chart7.xml"/><Relationship Id="rId14" Type="http://schemas.openxmlformats.org/officeDocument/2006/relationships/customXml" Target="../ink/ink16.xml"/><Relationship Id="rId22" Type="http://schemas.openxmlformats.org/officeDocument/2006/relationships/customXml" Target="../ink/ink22.xml"/><Relationship Id="rId27" Type="http://schemas.openxmlformats.org/officeDocument/2006/relationships/customXml" Target="../ink/ink27.xml"/><Relationship Id="rId30" Type="http://schemas.openxmlformats.org/officeDocument/2006/relationships/customXml" Target="../ink/ink30.xml"/><Relationship Id="rId35" Type="http://schemas.openxmlformats.org/officeDocument/2006/relationships/customXml" Target="../ink/ink35.xml"/><Relationship Id="rId43" Type="http://schemas.openxmlformats.org/officeDocument/2006/relationships/customXml" Target="../ink/ink43.xml"/><Relationship Id="rId48" Type="http://schemas.openxmlformats.org/officeDocument/2006/relationships/customXml" Target="../ink/ink48.xml"/><Relationship Id="rId113" Type="http://schemas.openxmlformats.org/officeDocument/2006/relationships/image" Target="../media/image90.png"/><Relationship Id="rId118" Type="http://schemas.openxmlformats.org/officeDocument/2006/relationships/customXml" Target="../ink/ink54.xml"/><Relationship Id="rId126" Type="http://schemas.openxmlformats.org/officeDocument/2006/relationships/chart" Target="../charts/chart11.xml"/><Relationship Id="rId134" Type="http://schemas.openxmlformats.org/officeDocument/2006/relationships/customXml" Target="../ink/ink62.xml"/><Relationship Id="rId139" Type="http://schemas.openxmlformats.org/officeDocument/2006/relationships/customXml" Target="../ink/ink66.xml"/><Relationship Id="rId147" Type="http://schemas.openxmlformats.org/officeDocument/2006/relationships/customXml" Target="../ink/ink74.xml"/><Relationship Id="rId8" Type="http://schemas.openxmlformats.org/officeDocument/2006/relationships/customXml" Target="../ink/ink12.xml"/><Relationship Id="rId121" Type="http://schemas.openxmlformats.org/officeDocument/2006/relationships/customXml" Target="../ink/ink57.xml"/><Relationship Id="rId142" Type="http://schemas.openxmlformats.org/officeDocument/2006/relationships/customXml" Target="../ink/ink69.xml"/><Relationship Id="rId150" Type="http://schemas.openxmlformats.org/officeDocument/2006/relationships/customXml" Target="../ink/ink77.xml"/><Relationship Id="rId155" Type="http://schemas.openxmlformats.org/officeDocument/2006/relationships/customXml" Target="../ink/ink81.xml"/><Relationship Id="rId3" Type="http://schemas.openxmlformats.org/officeDocument/2006/relationships/customXml" Target="../ink/ink8.xml"/><Relationship Id="rId12" Type="http://schemas.openxmlformats.org/officeDocument/2006/relationships/customXml" Target="../ink/ink14.xml"/><Relationship Id="rId17" Type="http://schemas.openxmlformats.org/officeDocument/2006/relationships/customXml" Target="../ink/ink18.xml"/><Relationship Id="rId25" Type="http://schemas.openxmlformats.org/officeDocument/2006/relationships/customXml" Target="../ink/ink25.xml"/><Relationship Id="rId33" Type="http://schemas.openxmlformats.org/officeDocument/2006/relationships/customXml" Target="../ink/ink33.xml"/><Relationship Id="rId38" Type="http://schemas.openxmlformats.org/officeDocument/2006/relationships/customXml" Target="../ink/ink38.xml"/><Relationship Id="rId46" Type="http://schemas.openxmlformats.org/officeDocument/2006/relationships/customXml" Target="../ink/ink46.xml"/><Relationship Id="rId116" Type="http://schemas.openxmlformats.org/officeDocument/2006/relationships/customXml" Target="../ink/ink52.xml"/><Relationship Id="rId124" Type="http://schemas.openxmlformats.org/officeDocument/2006/relationships/chart" Target="../charts/chart9.xml"/><Relationship Id="rId129" Type="http://schemas.openxmlformats.org/officeDocument/2006/relationships/chart" Target="../charts/chart14.xml"/><Relationship Id="rId137" Type="http://schemas.openxmlformats.org/officeDocument/2006/relationships/customXml" Target="../ink/ink65.xml"/><Relationship Id="rId158" Type="http://schemas.openxmlformats.org/officeDocument/2006/relationships/customXml" Target="../ink/ink84.xml"/><Relationship Id="rId20" Type="http://schemas.openxmlformats.org/officeDocument/2006/relationships/customXml" Target="../ink/ink20.xml"/><Relationship Id="rId41" Type="http://schemas.openxmlformats.org/officeDocument/2006/relationships/customXml" Target="../ink/ink41.xml"/><Relationship Id="rId111" Type="http://schemas.openxmlformats.org/officeDocument/2006/relationships/image" Target="../media/image80.png"/><Relationship Id="rId132" Type="http://schemas.openxmlformats.org/officeDocument/2006/relationships/customXml" Target="../ink/ink60.xml"/><Relationship Id="rId140" Type="http://schemas.openxmlformats.org/officeDocument/2006/relationships/customXml" Target="../ink/ink67.xml"/><Relationship Id="rId145" Type="http://schemas.openxmlformats.org/officeDocument/2006/relationships/customXml" Target="../ink/ink72.xml"/><Relationship Id="rId153" Type="http://schemas.openxmlformats.org/officeDocument/2006/relationships/customXml" Target="../ink/ink79.xml"/><Relationship Id="rId161" Type="http://schemas.openxmlformats.org/officeDocument/2006/relationships/customXml" Target="../ink/ink87.xml"/><Relationship Id="rId1" Type="http://schemas.openxmlformats.org/officeDocument/2006/relationships/chart" Target="../charts/chart1.xml"/><Relationship Id="rId6" Type="http://schemas.openxmlformats.org/officeDocument/2006/relationships/chart" Target="../charts/chart3.xml"/><Relationship Id="rId15" Type="http://schemas.openxmlformats.org/officeDocument/2006/relationships/customXml" Target="../ink/ink17.xml"/><Relationship Id="rId23" Type="http://schemas.openxmlformats.org/officeDocument/2006/relationships/customXml" Target="../ink/ink23.xml"/><Relationship Id="rId28" Type="http://schemas.openxmlformats.org/officeDocument/2006/relationships/customXml" Target="../ink/ink28.xml"/><Relationship Id="rId36" Type="http://schemas.openxmlformats.org/officeDocument/2006/relationships/customXml" Target="../ink/ink36.xml"/><Relationship Id="rId114" Type="http://schemas.openxmlformats.org/officeDocument/2006/relationships/customXml" Target="../ink/ink50.xml"/><Relationship Id="rId119" Type="http://schemas.openxmlformats.org/officeDocument/2006/relationships/customXml" Target="../ink/ink55.xml"/><Relationship Id="rId127" Type="http://schemas.openxmlformats.org/officeDocument/2006/relationships/chart" Target="../charts/chart12.xml"/><Relationship Id="rId10" Type="http://schemas.openxmlformats.org/officeDocument/2006/relationships/chart" Target="../charts/chart4.xml"/><Relationship Id="rId31" Type="http://schemas.openxmlformats.org/officeDocument/2006/relationships/customXml" Target="../ink/ink31.xml"/><Relationship Id="rId44" Type="http://schemas.openxmlformats.org/officeDocument/2006/relationships/customXml" Target="../ink/ink44.xml"/><Relationship Id="rId122" Type="http://schemas.openxmlformats.org/officeDocument/2006/relationships/customXml" Target="../ink/ink58.xml"/><Relationship Id="rId130" Type="http://schemas.openxmlformats.org/officeDocument/2006/relationships/customXml" Target="../ink/ink59.xml"/><Relationship Id="rId135" Type="http://schemas.openxmlformats.org/officeDocument/2006/relationships/customXml" Target="../ink/ink63.xml"/><Relationship Id="rId143" Type="http://schemas.openxmlformats.org/officeDocument/2006/relationships/customXml" Target="../ink/ink70.xml"/><Relationship Id="rId148" Type="http://schemas.openxmlformats.org/officeDocument/2006/relationships/customXml" Target="../ink/ink75.xml"/><Relationship Id="rId151" Type="http://schemas.openxmlformats.org/officeDocument/2006/relationships/chart" Target="../charts/chart17.xml"/><Relationship Id="rId156" Type="http://schemas.openxmlformats.org/officeDocument/2006/relationships/customXml" Target="../ink/ink82.xml"/><Relationship Id="rId4" Type="http://schemas.openxmlformats.org/officeDocument/2006/relationships/customXml" Target="../ink/ink9.xml"/><Relationship Id="rId9" Type="http://schemas.openxmlformats.org/officeDocument/2006/relationships/customXml" Target="../ink/ink13.xml"/><Relationship Id="rId13" Type="http://schemas.openxmlformats.org/officeDocument/2006/relationships/customXml" Target="../ink/ink15.xml"/><Relationship Id="rId18" Type="http://schemas.openxmlformats.org/officeDocument/2006/relationships/customXml" Target="../ink/ink19.xml"/><Relationship Id="rId39" Type="http://schemas.openxmlformats.org/officeDocument/2006/relationships/customXml" Target="../ink/ink39.xml"/></Relationships>
</file>

<file path=xl/drawings/drawing1.xml><?xml version="1.0" encoding="utf-8"?>
<xdr:wsDr xmlns:xdr="http://schemas.openxmlformats.org/drawingml/2006/spreadsheetDrawing" xmlns:a="http://schemas.openxmlformats.org/drawingml/2006/main">
  <xdr:oneCellAnchor>
    <xdr:from>
      <xdr:col>11</xdr:col>
      <xdr:colOff>133065</xdr:colOff>
      <xdr:row>138</xdr:row>
      <xdr:rowOff>94305</xdr:rowOff>
    </xdr:from>
    <xdr:ext cx="622536" cy="2952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1ACB74C8-98E1-4C7C-8082-C3DB0EFCACD2}"/>
                </a:ext>
              </a:extLst>
            </xdr14:cNvPr>
            <xdr14:cNvContentPartPr/>
          </xdr14:nvContentPartPr>
          <xdr14:nvPr macro=""/>
          <xdr14:xfrm>
            <a:off x="6333840" y="14562780"/>
            <a:ext cx="627480" cy="29520"/>
          </xdr14:xfrm>
        </xdr:contentPart>
      </mc:Choice>
      <mc:Fallback xmlns="">
        <xdr:pic>
          <xdr:nvPicPr>
            <xdr:cNvPr id="2" name="Ink 1">
              <a:extLst>
                <a:ext uri="{FF2B5EF4-FFF2-40B4-BE49-F238E27FC236}">
                  <a16:creationId xmlns:a16="http://schemas.microsoft.com/office/drawing/2014/main" id="{1ACB74C8-98E1-4C7C-8082-C3DB0EFCACD2}"/>
                </a:ext>
              </a:extLst>
            </xdr:cNvPr>
            <xdr:cNvPicPr/>
          </xdr:nvPicPr>
          <xdr:blipFill>
            <a:blip xmlns:r="http://schemas.openxmlformats.org/officeDocument/2006/relationships" r:embed="rId2"/>
            <a:stretch>
              <a:fillRect/>
            </a:stretch>
          </xdr:blipFill>
          <xdr:spPr>
            <a:xfrm>
              <a:off x="6324945" y="14553438"/>
              <a:ext cx="645641" cy="47830"/>
            </a:xfrm>
            <a:prstGeom prst="rect">
              <a:avLst/>
            </a:prstGeom>
          </xdr:spPr>
        </xdr:pic>
      </mc:Fallback>
    </mc:AlternateContent>
    <xdr:clientData/>
  </xdr:oneCellAnchor>
  <xdr:oneCellAnchor>
    <xdr:from>
      <xdr:col>7</xdr:col>
      <xdr:colOff>56910</xdr:colOff>
      <xdr:row>212</xdr:row>
      <xdr:rowOff>28065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776A6855-350E-49CD-86F1-90064D17AEA8}"/>
                </a:ext>
              </a:extLst>
            </xdr14:cNvPr>
            <xdr14:cNvContentPartPr/>
          </xdr14:nvContentPartPr>
          <xdr14:nvPr macro=""/>
          <xdr14:xfrm>
            <a:off x="9448560" y="15182340"/>
            <a:ext cx="360" cy="360"/>
          </xdr14:xfrm>
        </xdr:contentPart>
      </mc:Choice>
      <mc:Fallback xmlns="">
        <xdr:pic>
          <xdr:nvPicPr>
            <xdr:cNvPr id="3" name="Ink 2">
              <a:extLst>
                <a:ext uri="{FF2B5EF4-FFF2-40B4-BE49-F238E27FC236}">
                  <a16:creationId xmlns:a16="http://schemas.microsoft.com/office/drawing/2014/main" id="{776A6855-350E-49CD-86F1-90064D17AEA8}"/>
                </a:ext>
              </a:extLst>
            </xdr:cNvPr>
            <xdr:cNvPicPr/>
          </xdr:nvPicPr>
          <xdr:blipFill>
            <a:blip xmlns:r="http://schemas.openxmlformats.org/officeDocument/2006/relationships" r:embed="rId4"/>
            <a:stretch>
              <a:fillRect/>
            </a:stretch>
          </xdr:blipFill>
          <xdr:spPr>
            <a:xfrm>
              <a:off x="9439920" y="15173340"/>
              <a:ext cx="18000" cy="18000"/>
            </a:xfrm>
            <a:prstGeom prst="rect">
              <a:avLst/>
            </a:prstGeom>
          </xdr:spPr>
        </xdr:pic>
      </mc:Fallback>
    </mc:AlternateContent>
    <xdr:clientData/>
  </xdr:oneCellAnchor>
  <xdr:oneCellAnchor>
    <xdr:from>
      <xdr:col>12</xdr:col>
      <xdr:colOff>75375</xdr:colOff>
      <xdr:row>138</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B08C5CB0-913B-4D9C-BE35-1B3585479241}"/>
                </a:ext>
              </a:extLst>
            </xdr14:cNvPr>
            <xdr14:cNvContentPartPr/>
          </xdr14:nvContentPartPr>
          <xdr14:nvPr macro=""/>
          <xdr14:xfrm>
            <a:off x="6904800" y="14524980"/>
            <a:ext cx="49680" cy="84960"/>
          </xdr14:xfrm>
        </xdr:contentPart>
      </mc:Choice>
      <mc:Fallback xmlns="">
        <xdr:pic>
          <xdr:nvPicPr>
            <xdr:cNvPr id="4" name="Ink 3">
              <a:extLst>
                <a:ext uri="{FF2B5EF4-FFF2-40B4-BE49-F238E27FC236}">
                  <a16:creationId xmlns:a16="http://schemas.microsoft.com/office/drawing/2014/main" id="{B08C5CB0-913B-4D9C-BE35-1B3585479241}"/>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oneCellAnchor>
    <xdr:from>
      <xdr:col>7</xdr:col>
      <xdr:colOff>314040</xdr:colOff>
      <xdr:row>217</xdr:row>
      <xdr:rowOff>113745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C503A38E-52CD-467F-9BEE-A10E46595D28}"/>
                </a:ext>
              </a:extLst>
            </xdr14:cNvPr>
            <xdr14:cNvContentPartPr/>
          </xdr14:nvContentPartPr>
          <xdr14:nvPr macro=""/>
          <xdr14:xfrm>
            <a:off x="9077040" y="15268020"/>
            <a:ext cx="360" cy="360"/>
          </xdr14:xfrm>
        </xdr:contentPart>
      </mc:Choice>
      <mc:Fallback xmlns="">
        <xdr:pic>
          <xdr:nvPicPr>
            <xdr:cNvPr id="5" name="Ink 4">
              <a:extLst>
                <a:ext uri="{FF2B5EF4-FFF2-40B4-BE49-F238E27FC236}">
                  <a16:creationId xmlns:a16="http://schemas.microsoft.com/office/drawing/2014/main" id="{C503A38E-52CD-467F-9BEE-A10E46595D28}"/>
                </a:ext>
              </a:extLst>
            </xdr:cNvPr>
            <xdr:cNvPicPr/>
          </xdr:nvPicPr>
          <xdr:blipFill>
            <a:blip xmlns:r="http://schemas.openxmlformats.org/officeDocument/2006/relationships" r:embed="rId4"/>
            <a:stretch>
              <a:fillRect/>
            </a:stretch>
          </xdr:blipFill>
          <xdr:spPr>
            <a:xfrm>
              <a:off x="9068400" y="15259020"/>
              <a:ext cx="18000" cy="18000"/>
            </a:xfrm>
            <a:prstGeom prst="rect">
              <a:avLst/>
            </a:prstGeom>
          </xdr:spPr>
        </xdr:pic>
      </mc:Fallback>
    </mc:AlternateContent>
    <xdr:clientData/>
  </xdr:oneCellAnchor>
  <xdr:oneCellAnchor>
    <xdr:from>
      <xdr:col>11</xdr:col>
      <xdr:colOff>133065</xdr:colOff>
      <xdr:row>183</xdr:row>
      <xdr:rowOff>94305</xdr:rowOff>
    </xdr:from>
    <xdr:ext cx="627480" cy="2952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6" name="Ink 5">
              <a:extLst>
                <a:ext uri="{FF2B5EF4-FFF2-40B4-BE49-F238E27FC236}">
                  <a16:creationId xmlns:a16="http://schemas.microsoft.com/office/drawing/2014/main" id="{B8D02B5B-963C-455D-A909-8BA703E4524E}"/>
                </a:ext>
              </a:extLst>
            </xdr14:cNvPr>
            <xdr14:cNvContentPartPr/>
          </xdr14:nvContentPartPr>
          <xdr14:nvPr macro=""/>
          <xdr14:xfrm>
            <a:off x="6333840" y="14562780"/>
            <a:ext cx="627480" cy="29520"/>
          </xdr14:xfrm>
        </xdr:contentPart>
      </mc:Choice>
      <mc:Fallback xmlns="">
        <xdr:pic>
          <xdr:nvPicPr>
            <xdr:cNvPr id="6" name="Ink 5">
              <a:extLst>
                <a:ext uri="{FF2B5EF4-FFF2-40B4-BE49-F238E27FC236}">
                  <a16:creationId xmlns:a16="http://schemas.microsoft.com/office/drawing/2014/main" id="{B8D02B5B-963C-455D-A909-8BA703E4524E}"/>
                </a:ext>
              </a:extLst>
            </xdr:cNvPr>
            <xdr:cNvPicPr/>
          </xdr:nvPicPr>
          <xdr:blipFill>
            <a:blip xmlns:r="http://schemas.openxmlformats.org/officeDocument/2006/relationships" r:embed="rId2"/>
            <a:stretch>
              <a:fillRect/>
            </a:stretch>
          </xdr:blipFill>
          <xdr:spPr>
            <a:xfrm>
              <a:off x="6325200" y="14553780"/>
              <a:ext cx="645120" cy="47160"/>
            </a:xfrm>
            <a:prstGeom prst="rect">
              <a:avLst/>
            </a:prstGeom>
          </xdr:spPr>
        </xdr:pic>
      </mc:Fallback>
    </mc:AlternateContent>
    <xdr:clientData/>
  </xdr:oneCellAnchor>
  <xdr:oneCellAnchor>
    <xdr:from>
      <xdr:col>12</xdr:col>
      <xdr:colOff>75375</xdr:colOff>
      <xdr:row>183</xdr:row>
      <xdr:rowOff>56505</xdr:rowOff>
    </xdr:from>
    <xdr:ext cx="49680" cy="849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7" name="Ink 6">
              <a:extLst>
                <a:ext uri="{FF2B5EF4-FFF2-40B4-BE49-F238E27FC236}">
                  <a16:creationId xmlns:a16="http://schemas.microsoft.com/office/drawing/2014/main" id="{B4DAABEC-580F-4EF7-8681-A6FCB59ECD02}"/>
                </a:ext>
              </a:extLst>
            </xdr14:cNvPr>
            <xdr14:cNvContentPartPr/>
          </xdr14:nvContentPartPr>
          <xdr14:nvPr macro=""/>
          <xdr14:xfrm>
            <a:off x="6904800" y="14524980"/>
            <a:ext cx="49680" cy="84960"/>
          </xdr14:xfrm>
        </xdr:contentPart>
      </mc:Choice>
      <mc:Fallback xmlns="">
        <xdr:pic>
          <xdr:nvPicPr>
            <xdr:cNvPr id="7" name="Ink 6">
              <a:extLst>
                <a:ext uri="{FF2B5EF4-FFF2-40B4-BE49-F238E27FC236}">
                  <a16:creationId xmlns:a16="http://schemas.microsoft.com/office/drawing/2014/main" id="{B4DAABEC-580F-4EF7-8681-A6FCB59ECD02}"/>
                </a:ext>
              </a:extLst>
            </xdr:cNvPr>
            <xdr:cNvPicPr/>
          </xdr:nvPicPr>
          <xdr:blipFill>
            <a:blip xmlns:r="http://schemas.openxmlformats.org/officeDocument/2006/relationships" r:embed="rId6"/>
            <a:stretch>
              <a:fillRect/>
            </a:stretch>
          </xdr:blipFill>
          <xdr:spPr>
            <a:xfrm>
              <a:off x="6896160" y="14515980"/>
              <a:ext cx="67320" cy="102600"/>
            </a:xfrm>
            <a:prstGeom prst="rect">
              <a:avLst/>
            </a:prstGeom>
          </xdr:spPr>
        </xdr:pic>
      </mc:Fallback>
    </mc:AlternateContent>
    <xdr:clientData/>
  </xdr:oneCellAnchor>
</xdr:wsDr>
</file>

<file path=xl/drawings/drawing10.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0.13744</cdr:x>
      <cdr:y>0.20444</cdr:y>
    </cdr:from>
    <cdr:to>
      <cdr:x>0.24709</cdr:x>
      <cdr:y>0.34194</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596217" y="411958"/>
          <a:ext cx="475672" cy="277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FFFF00"/>
              </a:solidFill>
            </a:rPr>
            <a:t>FIFO</a:t>
          </a:r>
        </a:p>
      </cdr:txBody>
    </cdr:sp>
  </cdr:relSizeAnchor>
  <cdr:relSizeAnchor xmlns:cdr="http://schemas.openxmlformats.org/drawingml/2006/chartDrawing">
    <cdr:from>
      <cdr:x>0.3519</cdr:x>
      <cdr:y>0.2041</cdr:y>
    </cdr:from>
    <cdr:to>
      <cdr:x>0.46721</cdr:x>
      <cdr:y>0.3335</cdr:y>
    </cdr:to>
    <cdr:sp macro="" textlink="">
      <cdr:nvSpPr>
        <cdr:cNvPr id="6" name="TextBox 5">
          <a:extLst xmlns:a="http://schemas.openxmlformats.org/drawingml/2006/main">
            <a:ext uri="{FF2B5EF4-FFF2-40B4-BE49-F238E27FC236}">
              <a16:creationId xmlns:a16="http://schemas.microsoft.com/office/drawing/2014/main" id="{5605CF6B-1717-41BF-9069-5CBA283ACB68}"/>
            </a:ext>
          </a:extLst>
        </cdr:cNvPr>
        <cdr:cNvSpPr txBox="1"/>
      </cdr:nvSpPr>
      <cdr:spPr>
        <a:xfrm xmlns:a="http://schemas.openxmlformats.org/drawingml/2006/main">
          <a:off x="1526588" y="411277"/>
          <a:ext cx="500240" cy="260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b="1">
              <a:solidFill>
                <a:srgbClr val="C00000"/>
              </a:solidFill>
            </a:rPr>
            <a:t>LIFO</a:t>
          </a:r>
        </a:p>
      </cdr:txBody>
    </cdr:sp>
  </cdr:relSizeAnchor>
  <cdr:relSizeAnchor xmlns:cdr="http://schemas.openxmlformats.org/drawingml/2006/chartDrawing">
    <cdr:from>
      <cdr:x>0.6451</cdr:x>
      <cdr:y>0.05284</cdr:y>
    </cdr:from>
    <cdr:to>
      <cdr:x>0.85945</cdr:x>
      <cdr:y>0.19212</cdr:y>
    </cdr:to>
    <cdr:sp macro="" textlink="">
      <cdr:nvSpPr>
        <cdr:cNvPr id="3" name="TextBox 2">
          <a:extLst xmlns:a="http://schemas.openxmlformats.org/drawingml/2006/main">
            <a:ext uri="{FF2B5EF4-FFF2-40B4-BE49-F238E27FC236}">
              <a16:creationId xmlns:a16="http://schemas.microsoft.com/office/drawing/2014/main" id="{5D106844-562C-4571-88F3-D526BA16D9DF}"/>
            </a:ext>
          </a:extLst>
        </cdr:cNvPr>
        <cdr:cNvSpPr txBox="1"/>
      </cdr:nvSpPr>
      <cdr:spPr>
        <a:xfrm xmlns:a="http://schemas.openxmlformats.org/drawingml/2006/main">
          <a:off x="2751875" y="106476"/>
          <a:ext cx="914400" cy="2806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0.52652</cdr:x>
      <cdr:y>0.1056</cdr:y>
    </cdr:from>
    <cdr:to>
      <cdr:x>0.73731</cdr:x>
      <cdr:y>0.18579</cdr:y>
    </cdr:to>
    <cdr:sp macro="" textlink="">
      <cdr:nvSpPr>
        <cdr:cNvPr id="7" name="TextBox 6">
          <a:extLst xmlns:a="http://schemas.openxmlformats.org/drawingml/2006/main">
            <a:ext uri="{FF2B5EF4-FFF2-40B4-BE49-F238E27FC236}">
              <a16:creationId xmlns:a16="http://schemas.microsoft.com/office/drawing/2014/main" id="{07C1806A-EC02-4041-A7C6-B2A9662AFE35}"/>
            </a:ext>
          </a:extLst>
        </cdr:cNvPr>
        <cdr:cNvSpPr txBox="1"/>
      </cdr:nvSpPr>
      <cdr:spPr>
        <a:xfrm xmlns:a="http://schemas.openxmlformats.org/drawingml/2006/main">
          <a:off x="2284130" y="212782"/>
          <a:ext cx="914400" cy="1615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100"/>
        </a:p>
      </cdr:txBody>
    </cdr:sp>
  </cdr:relSizeAnchor>
</c:userShapes>
</file>

<file path=xl/drawings/drawing11.xml><?xml version="1.0" encoding="utf-8"?>
<xdr:wsDr xmlns:xdr="http://schemas.openxmlformats.org/drawingml/2006/spreadsheetDrawing" xmlns:a="http://schemas.openxmlformats.org/drawingml/2006/main">
  <xdr:twoCellAnchor>
    <xdr:from>
      <xdr:col>17</xdr:col>
      <xdr:colOff>327952</xdr:colOff>
      <xdr:row>20</xdr:row>
      <xdr:rowOff>84367</xdr:rowOff>
    </xdr:from>
    <xdr:to>
      <xdr:col>17</xdr:col>
      <xdr:colOff>328132</xdr:colOff>
      <xdr:row>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9" name="Ink 8">
              <a:extLst>
                <a:ext uri="{FF2B5EF4-FFF2-40B4-BE49-F238E27FC236}">
                  <a16:creationId xmlns:a16="http://schemas.microsoft.com/office/drawing/2014/main" id="{5831A2CA-5AF4-4442-B839-A79FEB078EBC}"/>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34</xdr:row>
      <xdr:rowOff>84367</xdr:rowOff>
    </xdr:from>
    <xdr:to>
      <xdr:col>17</xdr:col>
      <xdr:colOff>328132</xdr:colOff>
      <xdr:row>34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1" name="Ink 10">
              <a:extLst>
                <a:ext uri="{FF2B5EF4-FFF2-40B4-BE49-F238E27FC236}">
                  <a16:creationId xmlns:a16="http://schemas.microsoft.com/office/drawing/2014/main" id="{CE74CF0C-4E5F-43EA-B6F9-2190A32977C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41</xdr:row>
      <xdr:rowOff>84367</xdr:rowOff>
    </xdr:from>
    <xdr:to>
      <xdr:col>17</xdr:col>
      <xdr:colOff>328132</xdr:colOff>
      <xdr:row>41</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2" name="Ink 11">
              <a:extLst>
                <a:ext uri="{FF2B5EF4-FFF2-40B4-BE49-F238E27FC236}">
                  <a16:creationId xmlns:a16="http://schemas.microsoft.com/office/drawing/2014/main" id="{5E8E17F6-C29A-401D-8A6B-4A9AF9027E9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55</xdr:row>
      <xdr:rowOff>84367</xdr:rowOff>
    </xdr:from>
    <xdr:to>
      <xdr:col>17</xdr:col>
      <xdr:colOff>328132</xdr:colOff>
      <xdr:row>55</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4" name="Ink 13">
              <a:extLst>
                <a:ext uri="{FF2B5EF4-FFF2-40B4-BE49-F238E27FC236}">
                  <a16:creationId xmlns:a16="http://schemas.microsoft.com/office/drawing/2014/main" id="{CC76207C-63BF-4D21-AD9E-DD1E7BB59F49}"/>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76</xdr:row>
      <xdr:rowOff>84367</xdr:rowOff>
    </xdr:from>
    <xdr:to>
      <xdr:col>17</xdr:col>
      <xdr:colOff>328132</xdr:colOff>
      <xdr:row>76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7" name="Ink 16">
              <a:extLst>
                <a:ext uri="{FF2B5EF4-FFF2-40B4-BE49-F238E27FC236}">
                  <a16:creationId xmlns:a16="http://schemas.microsoft.com/office/drawing/2014/main" id="{033BCAD4-7303-40DC-8ED2-7F95D9B7B9A7}"/>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9526</xdr:colOff>
      <xdr:row>78</xdr:row>
      <xdr:rowOff>171449</xdr:rowOff>
    </xdr:from>
    <xdr:to>
      <xdr:col>14</xdr:col>
      <xdr:colOff>4763</xdr:colOff>
      <xdr:row>103</xdr:row>
      <xdr:rowOff>157162</xdr:rowOff>
    </xdr:to>
    <xdr:graphicFrame macro="">
      <xdr:nvGraphicFramePr>
        <xdr:cNvPr id="18" name="Chart 17">
          <a:extLst>
            <a:ext uri="{FF2B5EF4-FFF2-40B4-BE49-F238E27FC236}">
              <a16:creationId xmlns:a16="http://schemas.microsoft.com/office/drawing/2014/main" id="{2DECA599-CDD3-4BB6-8633-39A80A587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109</xdr:row>
      <xdr:rowOff>23813</xdr:rowOff>
    </xdr:from>
    <xdr:to>
      <xdr:col>14</xdr:col>
      <xdr:colOff>4763</xdr:colOff>
      <xdr:row>133</xdr:row>
      <xdr:rowOff>157163</xdr:rowOff>
    </xdr:to>
    <xdr:graphicFrame macro="">
      <xdr:nvGraphicFramePr>
        <xdr:cNvPr id="19" name="Chart 18">
          <a:extLst>
            <a:ext uri="{FF2B5EF4-FFF2-40B4-BE49-F238E27FC236}">
              <a16:creationId xmlns:a16="http://schemas.microsoft.com/office/drawing/2014/main" id="{678B29C1-2B56-4626-AFE2-4812F12C3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300038</xdr:colOff>
      <xdr:row>110</xdr:row>
      <xdr:rowOff>14286</xdr:rowOff>
    </xdr:from>
    <xdr:to>
      <xdr:col>8</xdr:col>
      <xdr:colOff>109658</xdr:colOff>
      <xdr:row>111</xdr:row>
      <xdr:rowOff>92632</xdr:rowOff>
    </xdr:to>
    <xdr:sp macro="" textlink="">
      <xdr:nvSpPr>
        <xdr:cNvPr id="20" name="TextBox 19">
          <a:extLst>
            <a:ext uri="{FF2B5EF4-FFF2-40B4-BE49-F238E27FC236}">
              <a16:creationId xmlns:a16="http://schemas.microsoft.com/office/drawing/2014/main" id="{50B69860-C346-448A-A88F-5BABDD93C4D7}"/>
            </a:ext>
          </a:extLst>
        </xdr:cNvPr>
        <xdr:cNvSpPr txBox="1"/>
      </xdr:nvSpPr>
      <xdr:spPr>
        <a:xfrm>
          <a:off x="4538663" y="75395136"/>
          <a:ext cx="495420" cy="240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523875</xdr:colOff>
      <xdr:row>79</xdr:row>
      <xdr:rowOff>152400</xdr:rowOff>
    </xdr:from>
    <xdr:to>
      <xdr:col>13</xdr:col>
      <xdr:colOff>485894</xdr:colOff>
      <xdr:row>81</xdr:row>
      <xdr:rowOff>68820</xdr:rowOff>
    </xdr:to>
    <xdr:sp macro="" textlink="">
      <xdr:nvSpPr>
        <xdr:cNvPr id="21" name="TextBox 20">
          <a:extLst>
            <a:ext uri="{FF2B5EF4-FFF2-40B4-BE49-F238E27FC236}">
              <a16:creationId xmlns:a16="http://schemas.microsoft.com/office/drawing/2014/main" id="{41A72FB1-AC1E-48D6-9B2E-6F56E9188D84}"/>
            </a:ext>
          </a:extLst>
        </xdr:cNvPr>
        <xdr:cNvSpPr txBox="1"/>
      </xdr:nvSpPr>
      <xdr:spPr>
        <a:xfrm>
          <a:off x="7905750" y="70513575"/>
          <a:ext cx="576382" cy="240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2016</a:t>
          </a:r>
        </a:p>
      </xdr:txBody>
    </xdr:sp>
    <xdr:clientData/>
  </xdr:twoCellAnchor>
  <xdr:twoCellAnchor>
    <xdr:from>
      <xdr:col>12</xdr:col>
      <xdr:colOff>11112</xdr:colOff>
      <xdr:row>111</xdr:row>
      <xdr:rowOff>92216</xdr:rowOff>
    </xdr:from>
    <xdr:to>
      <xdr:col>13</xdr:col>
      <xdr:colOff>514350</xdr:colOff>
      <xdr:row>118</xdr:row>
      <xdr:rowOff>47624</xdr:rowOff>
    </xdr:to>
    <xdr:sp macro="" textlink="">
      <xdr:nvSpPr>
        <xdr:cNvPr id="22" name="TextBox 21">
          <a:extLst>
            <a:ext uri="{FF2B5EF4-FFF2-40B4-BE49-F238E27FC236}">
              <a16:creationId xmlns:a16="http://schemas.microsoft.com/office/drawing/2014/main" id="{15F27CE6-19FD-42F1-9EF3-21D65056E440}"/>
            </a:ext>
          </a:extLst>
        </xdr:cNvPr>
        <xdr:cNvSpPr txBox="1"/>
      </xdr:nvSpPr>
      <xdr:spPr>
        <a:xfrm>
          <a:off x="7392987" y="75634991"/>
          <a:ext cx="1117601" cy="108888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  $423,000</a:t>
          </a:r>
        </a:p>
        <a:p>
          <a:r>
            <a:rPr lang="en-NZ" sz="1100" b="1"/>
            <a:t>Sales per store</a:t>
          </a:r>
          <a:r>
            <a:rPr lang="en-NZ" sz="1100" b="1" baseline="0"/>
            <a:t> </a:t>
          </a:r>
          <a:r>
            <a:rPr lang="en-NZ" sz="1100" b="1"/>
            <a:t>$6,743,000</a:t>
          </a:r>
        </a:p>
        <a:p>
          <a:r>
            <a:rPr lang="en-NZ" sz="1100" b="1"/>
            <a:t>EVA per $100 of sales  = $6.30</a:t>
          </a:r>
        </a:p>
      </xdr:txBody>
    </xdr:sp>
    <xdr:clientData/>
  </xdr:twoCellAnchor>
  <xdr:twoCellAnchor>
    <xdr:from>
      <xdr:col>12</xdr:col>
      <xdr:colOff>32433</xdr:colOff>
      <xdr:row>82</xdr:row>
      <xdr:rowOff>14826</xdr:rowOff>
    </xdr:from>
    <xdr:to>
      <xdr:col>13</xdr:col>
      <xdr:colOff>547687</xdr:colOff>
      <xdr:row>89</xdr:row>
      <xdr:rowOff>9524</xdr:rowOff>
    </xdr:to>
    <xdr:sp macro="" textlink="">
      <xdr:nvSpPr>
        <xdr:cNvPr id="23" name="TextBox 22">
          <a:extLst>
            <a:ext uri="{FF2B5EF4-FFF2-40B4-BE49-F238E27FC236}">
              <a16:creationId xmlns:a16="http://schemas.microsoft.com/office/drawing/2014/main" id="{B8D2D1A8-485E-472D-A438-9CB996DC4B84}"/>
            </a:ext>
          </a:extLst>
        </xdr:cNvPr>
        <xdr:cNvSpPr txBox="1"/>
      </xdr:nvSpPr>
      <xdr:spPr>
        <a:xfrm>
          <a:off x="7414308" y="70861776"/>
          <a:ext cx="1129617" cy="1128173"/>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EVA per store</a:t>
          </a:r>
          <a:r>
            <a:rPr lang="en-NZ" sz="1100" b="1" baseline="0"/>
            <a:t> </a:t>
          </a:r>
          <a:r>
            <a:rPr lang="en-NZ" sz="1100" b="1"/>
            <a:t>$63,000</a:t>
          </a:r>
        </a:p>
        <a:p>
          <a:r>
            <a:rPr lang="en-NZ" sz="1100" b="1"/>
            <a:t>Sales per store $12,552,000</a:t>
          </a:r>
        </a:p>
        <a:p>
          <a:r>
            <a:rPr lang="en-NZ" sz="1100" b="1"/>
            <a:t>EVA per $100 of sales  = $0.50</a:t>
          </a:r>
        </a:p>
      </xdr:txBody>
    </xdr:sp>
    <xdr:clientData/>
  </xdr:twoCellAnchor>
  <xdr:oneCellAnchor>
    <xdr:from>
      <xdr:col>7</xdr:col>
      <xdr:colOff>14288</xdr:colOff>
      <xdr:row>78</xdr:row>
      <xdr:rowOff>161925</xdr:rowOff>
    </xdr:from>
    <xdr:ext cx="1362075" cy="638176"/>
    <xdr:sp macro="" textlink="">
      <xdr:nvSpPr>
        <xdr:cNvPr id="24" name="TextBox 23">
          <a:extLst>
            <a:ext uri="{FF2B5EF4-FFF2-40B4-BE49-F238E27FC236}">
              <a16:creationId xmlns:a16="http://schemas.microsoft.com/office/drawing/2014/main" id="{F52E94E4-09C1-4367-846F-CD2C03CF0548}"/>
            </a:ext>
          </a:extLst>
        </xdr:cNvPr>
        <xdr:cNvSpPr txBox="1"/>
      </xdr:nvSpPr>
      <xdr:spPr>
        <a:xfrm>
          <a:off x="4252913" y="70361175"/>
          <a:ext cx="1362075" cy="638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1100" b="1" i="0" u="none" strike="noStrike">
              <a:solidFill>
                <a:schemeClr val="tx1"/>
              </a:solidFill>
              <a:effectLst/>
              <a:latin typeface="+mn-lt"/>
              <a:ea typeface="+mn-ea"/>
              <a:cs typeface="+mn-cs"/>
            </a:rPr>
            <a:t>EVA drives MVA</a:t>
          </a:r>
          <a:r>
            <a:rPr lang="en-NZ"/>
            <a:t>  </a:t>
          </a:r>
        </a:p>
        <a:p>
          <a:r>
            <a:rPr lang="en-NZ" sz="1100" b="1" i="0" u="none" strike="noStrike">
              <a:solidFill>
                <a:schemeClr val="tx1"/>
              </a:solidFill>
              <a:effectLst/>
              <a:latin typeface="+mn-lt"/>
              <a:ea typeface="+mn-ea"/>
              <a:cs typeface="+mn-cs"/>
            </a:rPr>
            <a:t>Briscoe</a:t>
          </a:r>
          <a:r>
            <a:rPr lang="en-NZ"/>
            <a:t> </a:t>
          </a:r>
        </a:p>
        <a:p>
          <a:r>
            <a:rPr lang="en-NZ" sz="1100" b="0" i="0" u="none" strike="noStrike">
              <a:solidFill>
                <a:schemeClr val="tx1"/>
              </a:solidFill>
              <a:effectLst/>
              <a:latin typeface="+mn-lt"/>
              <a:ea typeface="+mn-ea"/>
              <a:cs typeface="+mn-cs"/>
            </a:rPr>
            <a:t>Millions of Dollars</a:t>
          </a:r>
          <a:r>
            <a:rPr lang="en-NZ"/>
            <a:t> </a:t>
          </a:r>
          <a:endParaRPr lang="en-NZ" sz="1100"/>
        </a:p>
      </xdr:txBody>
    </xdr:sp>
    <xdr:clientData/>
  </xdr:oneCellAnchor>
  <xdr:twoCellAnchor>
    <xdr:from>
      <xdr:col>17</xdr:col>
      <xdr:colOff>61815</xdr:colOff>
      <xdr:row>8</xdr:row>
      <xdr:rowOff>153075</xdr:rowOff>
    </xdr:from>
    <xdr:to>
      <xdr:col>17</xdr:col>
      <xdr:colOff>226335</xdr:colOff>
      <xdr:row>11</xdr:row>
      <xdr:rowOff>157275</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3" name="Ink 2">
              <a:extLst>
                <a:ext uri="{FF2B5EF4-FFF2-40B4-BE49-F238E27FC236}">
                  <a16:creationId xmlns:a16="http://schemas.microsoft.com/office/drawing/2014/main" id="{6D29C7E2-610A-499E-AFEB-32F68566C542}"/>
                </a:ext>
              </a:extLst>
            </xdr14:cNvPr>
            <xdr14:cNvContentPartPr/>
          </xdr14:nvContentPartPr>
          <xdr14:nvPr macro=""/>
          <xdr14:xfrm>
            <a:off x="10510740" y="657900"/>
            <a:ext cx="164520" cy="499500"/>
          </xdr14:xfrm>
        </xdr:contentPart>
      </mc:Choice>
      <mc:Fallback xmlns="">
        <xdr:pic>
          <xdr:nvPicPr>
            <xdr:cNvPr id="3" name="Ink 2">
              <a:extLst>
                <a:ext uri="{FF2B5EF4-FFF2-40B4-BE49-F238E27FC236}">
                  <a16:creationId xmlns:a16="http://schemas.microsoft.com/office/drawing/2014/main" id="{6D29C7E2-610A-499E-AFEB-32F68566C542}"/>
                </a:ext>
              </a:extLst>
            </xdr:cNvPr>
            <xdr:cNvPicPr/>
          </xdr:nvPicPr>
          <xdr:blipFill>
            <a:blip xmlns:r="http://schemas.openxmlformats.org/officeDocument/2006/relationships" r:embed="rId9"/>
            <a:stretch>
              <a:fillRect/>
            </a:stretch>
          </xdr:blipFill>
          <xdr:spPr>
            <a:xfrm>
              <a:off x="10506429" y="653582"/>
              <a:ext cx="173141" cy="508137"/>
            </a:xfrm>
            <a:prstGeom prst="rect">
              <a:avLst/>
            </a:prstGeom>
          </xdr:spPr>
        </xdr:pic>
      </mc:Fallback>
    </mc:AlternateContent>
    <xdr:clientData/>
  </xdr:twoCellAnchor>
  <xdr:twoCellAnchor>
    <xdr:from>
      <xdr:col>17</xdr:col>
      <xdr:colOff>327952</xdr:colOff>
      <xdr:row>27</xdr:row>
      <xdr:rowOff>84367</xdr:rowOff>
    </xdr:from>
    <xdr:to>
      <xdr:col>17</xdr:col>
      <xdr:colOff>328132</xdr:colOff>
      <xdr:row>69</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4" name="Ink 3">
              <a:extLst>
                <a:ext uri="{FF2B5EF4-FFF2-40B4-BE49-F238E27FC236}">
                  <a16:creationId xmlns:a16="http://schemas.microsoft.com/office/drawing/2014/main" id="{9BC1E537-531B-42D4-B6F7-B14E4E1B8C82}"/>
                </a:ext>
              </a:extLst>
            </xdr14:cNvPr>
            <xdr14:cNvContentPartPr/>
          </xdr14:nvContentPartPr>
          <xdr14:nvPr macro=""/>
          <xdr14:xfrm>
            <a:off x="10776877" y="3970567"/>
            <a:ext cx="180" cy="7420155"/>
          </xdr14:xfrm>
        </xdr:contentPart>
      </mc:Choice>
      <mc:Fallback xmlns="">
        <xdr:pic>
          <xdr:nvPicPr>
            <xdr:cNvPr id="4" name="Ink 3">
              <a:extLst>
                <a:ext uri="{FF2B5EF4-FFF2-40B4-BE49-F238E27FC236}">
                  <a16:creationId xmlns:a16="http://schemas.microsoft.com/office/drawing/2014/main" id="{9BC1E537-531B-42D4-B6F7-B14E4E1B8C82}"/>
                </a:ext>
              </a:extLst>
            </xdr:cNvPr>
            <xdr:cNvPicPr/>
          </xdr:nvPicPr>
          <xdr:blipFill/>
          <xdr:spPr/>
        </xdr:pic>
      </mc:Fallback>
    </mc:AlternateContent>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29</xdr:row>
      <xdr:rowOff>0</xdr:rowOff>
    </xdr:from>
    <xdr:ext cx="2627421" cy="333190"/>
    <xdr:pic>
      <xdr:nvPicPr>
        <xdr:cNvPr id="2" name="Picture 1" descr="The Warehouse">
          <a:extLst>
            <a:ext uri="{FF2B5EF4-FFF2-40B4-BE49-F238E27FC236}">
              <a16:creationId xmlns:a16="http://schemas.microsoft.com/office/drawing/2014/main" id="{C163B170-2489-42B2-ACAD-0FD06B8E1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77813" y="0"/>
          <a:ext cx="2627421" cy="3331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1760027" cy="480619"/>
    <xdr:pic>
      <xdr:nvPicPr>
        <xdr:cNvPr id="3" name="Picture 2" descr="Briscoes Homeware">
          <a:extLst>
            <a:ext uri="{FF2B5EF4-FFF2-40B4-BE49-F238E27FC236}">
              <a16:creationId xmlns:a16="http://schemas.microsoft.com/office/drawing/2014/main" id="{B2D78EB0-12C2-4D09-B1D3-AC46D2350E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77813" y="504825"/>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576263</xdr:colOff>
      <xdr:row>42</xdr:row>
      <xdr:rowOff>166688</xdr:rowOff>
    </xdr:from>
    <xdr:ext cx="184731" cy="264560"/>
    <xdr:sp macro="" textlink="">
      <xdr:nvSpPr>
        <xdr:cNvPr id="4" name="TextBox 3">
          <a:extLst>
            <a:ext uri="{FF2B5EF4-FFF2-40B4-BE49-F238E27FC236}">
              <a16:creationId xmlns:a16="http://schemas.microsoft.com/office/drawing/2014/main" id="{A34F8600-F8F9-4A06-9E26-741E9BACB922}"/>
            </a:ext>
          </a:extLst>
        </xdr:cNvPr>
        <xdr:cNvSpPr txBox="1"/>
      </xdr:nvSpPr>
      <xdr:spPr>
        <a:xfrm>
          <a:off x="16297275" y="2443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7</xdr:col>
      <xdr:colOff>23812</xdr:colOff>
      <xdr:row>40</xdr:row>
      <xdr:rowOff>4763</xdr:rowOff>
    </xdr:from>
    <xdr:ext cx="881063" cy="166688"/>
    <xdr:sp macro="" textlink="">
      <xdr:nvSpPr>
        <xdr:cNvPr id="5" name="TextBox 4">
          <a:extLst>
            <a:ext uri="{FF2B5EF4-FFF2-40B4-BE49-F238E27FC236}">
              <a16:creationId xmlns:a16="http://schemas.microsoft.com/office/drawing/2014/main" id="{CA0C59AC-BE9E-406C-AE9D-F974DBEFEE84}"/>
            </a:ext>
          </a:extLst>
        </xdr:cNvPr>
        <xdr:cNvSpPr txBox="1"/>
      </xdr:nvSpPr>
      <xdr:spPr>
        <a:xfrm>
          <a:off x="16321087" y="1876426"/>
          <a:ext cx="881063" cy="16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40</xdr:row>
      <xdr:rowOff>214312</xdr:rowOff>
    </xdr:from>
    <xdr:ext cx="652463" cy="180975"/>
    <xdr:sp macro="" textlink="">
      <xdr:nvSpPr>
        <xdr:cNvPr id="6" name="TextBox 5">
          <a:extLst>
            <a:ext uri="{FF2B5EF4-FFF2-40B4-BE49-F238E27FC236}">
              <a16:creationId xmlns:a16="http://schemas.microsoft.com/office/drawing/2014/main" id="{1AB4E26B-A0E9-413F-9DB2-4BD6A9D8EFC1}"/>
            </a:ext>
          </a:extLst>
        </xdr:cNvPr>
        <xdr:cNvSpPr txBox="1"/>
      </xdr:nvSpPr>
      <xdr:spPr>
        <a:xfrm>
          <a:off x="16297275" y="2085975"/>
          <a:ext cx="652463" cy="180975"/>
        </a:xfrm>
        <a:prstGeom prst="rect">
          <a:avLst/>
        </a:prstGeom>
        <a:solidFill>
          <a:srgbClr val="EBF2F5"/>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0</xdr:colOff>
      <xdr:row>43</xdr:row>
      <xdr:rowOff>9525</xdr:rowOff>
    </xdr:from>
    <xdr:ext cx="652463" cy="185739"/>
    <xdr:sp macro="" textlink="">
      <xdr:nvSpPr>
        <xdr:cNvPr id="7" name="TextBox 6">
          <a:extLst>
            <a:ext uri="{FF2B5EF4-FFF2-40B4-BE49-F238E27FC236}">
              <a16:creationId xmlns:a16="http://schemas.microsoft.com/office/drawing/2014/main" id="{E28308FC-3AB2-454F-BD8F-E711482D49A9}"/>
            </a:ext>
          </a:extLst>
        </xdr:cNvPr>
        <xdr:cNvSpPr txBox="1"/>
      </xdr:nvSpPr>
      <xdr:spPr>
        <a:xfrm>
          <a:off x="5181600" y="2571750"/>
          <a:ext cx="652463" cy="185739"/>
        </a:xfrm>
        <a:prstGeom prst="rect">
          <a:avLst/>
        </a:prstGeom>
        <a:solidFill>
          <a:srgbClr val="E6001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oneCellAnchor>
    <xdr:from>
      <xdr:col>7</xdr:col>
      <xdr:colOff>1</xdr:colOff>
      <xdr:row>40</xdr:row>
      <xdr:rowOff>9525</xdr:rowOff>
    </xdr:from>
    <xdr:ext cx="633412" cy="190500"/>
    <xdr:sp macro="" textlink="">
      <xdr:nvSpPr>
        <xdr:cNvPr id="8" name="TextBox 7">
          <a:extLst>
            <a:ext uri="{FF2B5EF4-FFF2-40B4-BE49-F238E27FC236}">
              <a16:creationId xmlns:a16="http://schemas.microsoft.com/office/drawing/2014/main" id="{DBF1CFDD-B1F9-4E98-9311-9A38B7020380}"/>
            </a:ext>
          </a:extLst>
        </xdr:cNvPr>
        <xdr:cNvSpPr txBox="1"/>
      </xdr:nvSpPr>
      <xdr:spPr>
        <a:xfrm>
          <a:off x="16297276" y="1881188"/>
          <a:ext cx="633412" cy="190500"/>
        </a:xfrm>
        <a:prstGeom prst="rect">
          <a:avLst/>
        </a:prstGeom>
        <a:solidFill>
          <a:srgbClr val="C3D7E3"/>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NZ" sz="1100"/>
        </a:p>
      </xdr:txBody>
    </xdr:sp>
    <xdr:clientData/>
  </xdr:oneCellAnchor>
  <xdr:twoCellAnchor>
    <xdr:from>
      <xdr:col>9</xdr:col>
      <xdr:colOff>461962</xdr:colOff>
      <xdr:row>44</xdr:row>
      <xdr:rowOff>168594</xdr:rowOff>
    </xdr:from>
    <xdr:to>
      <xdr:col>9</xdr:col>
      <xdr:colOff>507681</xdr:colOff>
      <xdr:row>45</xdr:row>
      <xdr:rowOff>33338</xdr:rowOff>
    </xdr:to>
    <xdr:sp macro="" textlink="">
      <xdr:nvSpPr>
        <xdr:cNvPr id="9" name="TextBox 8">
          <a:extLst>
            <a:ext uri="{FF2B5EF4-FFF2-40B4-BE49-F238E27FC236}">
              <a16:creationId xmlns:a16="http://schemas.microsoft.com/office/drawing/2014/main" id="{49FC3AA7-CC67-42B9-9E3E-31095714C30F}"/>
            </a:ext>
          </a:extLst>
        </xdr:cNvPr>
        <xdr:cNvSpPr txBox="1"/>
      </xdr:nvSpPr>
      <xdr:spPr>
        <a:xfrm>
          <a:off x="17383125" y="2830832"/>
          <a:ext cx="45719" cy="36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NZ" sz="1100"/>
        </a:p>
      </xdr:txBody>
    </xdr:sp>
    <xdr:clientData/>
  </xdr:twoCellAnchor>
  <xdr:twoCellAnchor>
    <xdr:from>
      <xdr:col>7</xdr:col>
      <xdr:colOff>678592</xdr:colOff>
      <xdr:row>92</xdr:row>
      <xdr:rowOff>5437</xdr:rowOff>
    </xdr:from>
    <xdr:to>
      <xdr:col>7</xdr:col>
      <xdr:colOff>678772</xdr:colOff>
      <xdr:row>92</xdr:row>
      <xdr:rowOff>5617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0" name="Ink 9">
              <a:extLst>
                <a:ext uri="{FF2B5EF4-FFF2-40B4-BE49-F238E27FC236}">
                  <a16:creationId xmlns:a16="http://schemas.microsoft.com/office/drawing/2014/main" id="{46C79824-CB70-49C3-8F18-716487F29EAB}"/>
                </a:ext>
              </a:extLst>
            </xdr14:cNvPr>
            <xdr14:cNvContentPartPr/>
          </xdr14:nvContentPartPr>
          <xdr14:nvPr macro=""/>
          <xdr14:xfrm>
            <a:off x="10675080" y="657900"/>
            <a:ext cx="180" cy="180"/>
          </xdr14:xfrm>
        </xdr:contentPart>
      </mc:Choice>
      <mc:Fallback xmlns="">
        <xdr:pic>
          <xdr:nvPicPr>
            <xdr:cNvPr id="47" name="Ink 46">
              <a:extLst>
                <a:ext uri="{FF2B5EF4-FFF2-40B4-BE49-F238E27FC236}">
                  <a16:creationId xmlns:a16="http://schemas.microsoft.com/office/drawing/2014/main" id="{46C79824-CB70-49C3-8F18-716487F29EAB}"/>
                </a:ext>
              </a:extLst>
            </xdr:cNvPr>
            <xdr:cNvPicPr/>
          </xdr:nvPicPr>
          <xdr:blipFill/>
          <xdr:spPr/>
        </xdr:pic>
      </mc:Fallback>
    </mc:AlternateContent>
    <xdr:clientData/>
  </xdr:twoCellAnchor>
  <xdr:oneCellAnchor>
    <xdr:from>
      <xdr:col>10</xdr:col>
      <xdr:colOff>0</xdr:colOff>
      <xdr:row>28</xdr:row>
      <xdr:rowOff>161662</xdr:rowOff>
    </xdr:from>
    <xdr:ext cx="1760027" cy="480619"/>
    <xdr:pic>
      <xdr:nvPicPr>
        <xdr:cNvPr id="12" name="Picture 11" descr="Briscoes Homeware">
          <a:extLst>
            <a:ext uri="{FF2B5EF4-FFF2-40B4-BE49-F238E27FC236}">
              <a16:creationId xmlns:a16="http://schemas.microsoft.com/office/drawing/2014/main" id="{5C03CF6A-A12F-4251-B8E8-A089EADB88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9663" y="323587"/>
          <a:ext cx="1760027" cy="480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0</xdr:colOff>
      <xdr:row>32</xdr:row>
      <xdr:rowOff>0</xdr:rowOff>
    </xdr:from>
    <xdr:to>
      <xdr:col>5</xdr:col>
      <xdr:colOff>227552</xdr:colOff>
      <xdr:row>33</xdr:row>
      <xdr:rowOff>38925</xdr:rowOff>
    </xdr:to>
    <xdr:pic>
      <xdr:nvPicPr>
        <xdr:cNvPr id="14" name="Picture 13" descr="Briscoe Group Ltd">
          <a:extLst>
            <a:ext uri="{FF2B5EF4-FFF2-40B4-BE49-F238E27FC236}">
              <a16:creationId xmlns:a16="http://schemas.microsoft.com/office/drawing/2014/main" id="{B753E3A0-DC84-42B8-8B75-F1825BF88E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76488" y="4824413"/>
          <a:ext cx="875252" cy="196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340929</xdr:colOff>
      <xdr:row>28</xdr:row>
      <xdr:rowOff>39212</xdr:rowOff>
    </xdr:to>
    <xdr:pic>
      <xdr:nvPicPr>
        <xdr:cNvPr id="15" name="Picture 14" descr="http://z.co.nz/themes/base/images/z_logo.png">
          <a:extLst>
            <a:ext uri="{FF2B5EF4-FFF2-40B4-BE49-F238E27FC236}">
              <a16:creationId xmlns:a16="http://schemas.microsoft.com/office/drawing/2014/main" id="{B8F8F98D-532E-4037-A6CA-D5E4D4DED9D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 y="4891088"/>
          <a:ext cx="336696" cy="20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396240</xdr:colOff>
      <xdr:row>329</xdr:row>
      <xdr:rowOff>99060</xdr:rowOff>
    </xdr:from>
    <xdr:to>
      <xdr:col>11</xdr:col>
      <xdr:colOff>746760</xdr:colOff>
      <xdr:row>329</xdr:row>
      <xdr:rowOff>99060</xdr:rowOff>
    </xdr:to>
    <xdr:sp macro="" textlink="">
      <xdr:nvSpPr>
        <xdr:cNvPr id="2" name="Line 3">
          <a:extLst>
            <a:ext uri="{FF2B5EF4-FFF2-40B4-BE49-F238E27FC236}">
              <a16:creationId xmlns:a16="http://schemas.microsoft.com/office/drawing/2014/main" id="{FC657C5D-14CA-442C-9D2A-22E285553CDB}"/>
            </a:ext>
          </a:extLst>
        </xdr:cNvPr>
        <xdr:cNvSpPr>
          <a:spLocks noChangeShapeType="1"/>
        </xdr:cNvSpPr>
      </xdr:nvSpPr>
      <xdr:spPr bwMode="auto">
        <a:xfrm>
          <a:off x="6818207" y="53408368"/>
          <a:ext cx="107018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388471</xdr:colOff>
      <xdr:row>333</xdr:row>
      <xdr:rowOff>134471</xdr:rowOff>
    </xdr:from>
    <xdr:to>
      <xdr:col>11</xdr:col>
      <xdr:colOff>700891</xdr:colOff>
      <xdr:row>333</xdr:row>
      <xdr:rowOff>134471</xdr:rowOff>
    </xdr:to>
    <xdr:sp macro="" textlink="">
      <xdr:nvSpPr>
        <xdr:cNvPr id="3" name="Line 3">
          <a:extLst>
            <a:ext uri="{FF2B5EF4-FFF2-40B4-BE49-F238E27FC236}">
              <a16:creationId xmlns:a16="http://schemas.microsoft.com/office/drawing/2014/main" id="{6233B7B8-6D9B-4B69-B4E1-862FA34AF8E1}"/>
            </a:ext>
          </a:extLst>
        </xdr:cNvPr>
        <xdr:cNvSpPr>
          <a:spLocks noChangeShapeType="1"/>
        </xdr:cNvSpPr>
      </xdr:nvSpPr>
      <xdr:spPr bwMode="auto">
        <a:xfrm>
          <a:off x="6809379" y="54091479"/>
          <a:ext cx="10469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456671</xdr:colOff>
      <xdr:row>25</xdr:row>
      <xdr:rowOff>75671</xdr:rowOff>
    </xdr:to>
    <xdr:pic>
      <xdr:nvPicPr>
        <xdr:cNvPr id="116" name="Picture 115">
          <a:extLst>
            <a:ext uri="{FF2B5EF4-FFF2-40B4-BE49-F238E27FC236}">
              <a16:creationId xmlns:a16="http://schemas.microsoft.com/office/drawing/2014/main" id="{37ACB501-65B8-4E1E-939D-E0A9F347A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3690938" cy="3957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1</xdr:row>
      <xdr:rowOff>9525</xdr:rowOff>
    </xdr:from>
    <xdr:to>
      <xdr:col>11</xdr:col>
      <xdr:colOff>457730</xdr:colOff>
      <xdr:row>25</xdr:row>
      <xdr:rowOff>29634</xdr:rowOff>
    </xdr:to>
    <xdr:pic>
      <xdr:nvPicPr>
        <xdr:cNvPr id="119" name="Picture 118">
          <a:extLst>
            <a:ext uri="{FF2B5EF4-FFF2-40B4-BE49-F238E27FC236}">
              <a16:creationId xmlns:a16="http://schemas.microsoft.com/office/drawing/2014/main" id="{505E449E-18CC-4ED3-A11D-1E3BDC7A06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5725" y="171450"/>
          <a:ext cx="3690938"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19050</xdr:rowOff>
    </xdr:from>
    <xdr:to>
      <xdr:col>5</xdr:col>
      <xdr:colOff>456671</xdr:colOff>
      <xdr:row>49</xdr:row>
      <xdr:rowOff>8466</xdr:rowOff>
    </xdr:to>
    <xdr:pic>
      <xdr:nvPicPr>
        <xdr:cNvPr id="121" name="Picture 120">
          <a:extLst>
            <a:ext uri="{FF2B5EF4-FFF2-40B4-BE49-F238E27FC236}">
              <a16:creationId xmlns:a16="http://schemas.microsoft.com/office/drawing/2014/main" id="{77B2E19D-CC72-4B03-9C54-6977D061281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229100"/>
          <a:ext cx="3690938"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26</xdr:row>
      <xdr:rowOff>9525</xdr:rowOff>
    </xdr:from>
    <xdr:to>
      <xdr:col>11</xdr:col>
      <xdr:colOff>456671</xdr:colOff>
      <xdr:row>49</xdr:row>
      <xdr:rowOff>8996</xdr:rowOff>
    </xdr:to>
    <xdr:pic>
      <xdr:nvPicPr>
        <xdr:cNvPr id="123" name="Picture 122">
          <a:extLst>
            <a:ext uri="{FF2B5EF4-FFF2-40B4-BE49-F238E27FC236}">
              <a16:creationId xmlns:a16="http://schemas.microsoft.com/office/drawing/2014/main" id="{F4DDB8E0-9B06-4EDC-8C56-9F4847F4748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86200" y="4219575"/>
          <a:ext cx="3690938" cy="3729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11</xdr:col>
      <xdr:colOff>571500</xdr:colOff>
      <xdr:row>72</xdr:row>
      <xdr:rowOff>76200</xdr:rowOff>
    </xdr:to>
    <xdr:pic>
      <xdr:nvPicPr>
        <xdr:cNvPr id="124" name="Picture 123">
          <a:extLst>
            <a:ext uri="{FF2B5EF4-FFF2-40B4-BE49-F238E27FC236}">
              <a16:creationId xmlns:a16="http://schemas.microsoft.com/office/drawing/2014/main" id="{F3F6C0CA-D1A3-4D30-8CA2-207781A204A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086725"/>
          <a:ext cx="7696200" cy="3648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14288</xdr:rowOff>
    </xdr:from>
    <xdr:to>
      <xdr:col>5</xdr:col>
      <xdr:colOff>456671</xdr:colOff>
      <xdr:row>91</xdr:row>
      <xdr:rowOff>113771</xdr:rowOff>
    </xdr:to>
    <xdr:pic>
      <xdr:nvPicPr>
        <xdr:cNvPr id="127" name="Picture 126">
          <a:extLst>
            <a:ext uri="{FF2B5EF4-FFF2-40B4-BE49-F238E27FC236}">
              <a16:creationId xmlns:a16="http://schemas.microsoft.com/office/drawing/2014/main" id="{D5CBF96B-DE9F-45B3-8B36-F4F6153361F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1834813"/>
          <a:ext cx="3690938"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73</xdr:row>
      <xdr:rowOff>23813</xdr:rowOff>
    </xdr:from>
    <xdr:to>
      <xdr:col>11</xdr:col>
      <xdr:colOff>456671</xdr:colOff>
      <xdr:row>92</xdr:row>
      <xdr:rowOff>1</xdr:rowOff>
    </xdr:to>
    <xdr:pic>
      <xdr:nvPicPr>
        <xdr:cNvPr id="129" name="Picture 128">
          <a:extLst>
            <a:ext uri="{FF2B5EF4-FFF2-40B4-BE49-F238E27FC236}">
              <a16:creationId xmlns:a16="http://schemas.microsoft.com/office/drawing/2014/main" id="{DC364329-18B9-4B85-96F8-7B3BB0F45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86200" y="11844338"/>
          <a:ext cx="3690938" cy="305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138113</xdr:rowOff>
    </xdr:from>
    <xdr:to>
      <xdr:col>12</xdr:col>
      <xdr:colOff>579966</xdr:colOff>
      <xdr:row>105</xdr:row>
      <xdr:rowOff>113771</xdr:rowOff>
    </xdr:to>
    <xdr:pic>
      <xdr:nvPicPr>
        <xdr:cNvPr id="130" name="Picture 129">
          <a:extLst>
            <a:ext uri="{FF2B5EF4-FFF2-40B4-BE49-F238E27FC236}">
              <a16:creationId xmlns:a16="http://schemas.microsoft.com/office/drawing/2014/main" id="{82C2A483-7880-41D6-A0CD-931E381F26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15035213"/>
          <a:ext cx="8353425"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8</xdr:col>
      <xdr:colOff>0</xdr:colOff>
      <xdr:row>26</xdr:row>
      <xdr:rowOff>90488</xdr:rowOff>
    </xdr:to>
    <xdr:pic>
      <xdr:nvPicPr>
        <xdr:cNvPr id="20" name="Picture 19">
          <a:extLst>
            <a:ext uri="{FF2B5EF4-FFF2-40B4-BE49-F238E27FC236}">
              <a16:creationId xmlns:a16="http://schemas.microsoft.com/office/drawing/2014/main" id="{6EB29F5F-6A61-4316-991A-31665DFD3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76263"/>
          <a:ext cx="3848100" cy="381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158750</xdr:colOff>
      <xdr:row>3</xdr:row>
      <xdr:rowOff>47625</xdr:rowOff>
    </xdr:from>
    <xdr:to>
      <xdr:col>14</xdr:col>
      <xdr:colOff>117475</xdr:colOff>
      <xdr:row>26</xdr:row>
      <xdr:rowOff>119063</xdr:rowOff>
    </xdr:to>
    <xdr:pic>
      <xdr:nvPicPr>
        <xdr:cNvPr id="25" name="Picture 24">
          <a:extLst>
            <a:ext uri="{FF2B5EF4-FFF2-40B4-BE49-F238E27FC236}">
              <a16:creationId xmlns:a16="http://schemas.microsoft.com/office/drawing/2014/main" id="{FCC4AB53-5B7D-4846-BCC9-4BE4A26F92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5750" y="619125"/>
          <a:ext cx="3863975" cy="3722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28</xdr:row>
      <xdr:rowOff>0</xdr:rowOff>
    </xdr:from>
    <xdr:to>
      <xdr:col>8</xdr:col>
      <xdr:colOff>0</xdr:colOff>
      <xdr:row>50</xdr:row>
      <xdr:rowOff>103188</xdr:rowOff>
    </xdr:to>
    <xdr:pic>
      <xdr:nvPicPr>
        <xdr:cNvPr id="29" name="Picture 28">
          <a:extLst>
            <a:ext uri="{FF2B5EF4-FFF2-40B4-BE49-F238E27FC236}">
              <a16:creationId xmlns:a16="http://schemas.microsoft.com/office/drawing/2014/main" id="{596E35ED-BBBA-4D69-9AC5-EB3F002A41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1750" y="4540250"/>
          <a:ext cx="3863975" cy="3595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27</xdr:row>
      <xdr:rowOff>142875</xdr:rowOff>
    </xdr:from>
    <xdr:to>
      <xdr:col>14</xdr:col>
      <xdr:colOff>149225</xdr:colOff>
      <xdr:row>50</xdr:row>
      <xdr:rowOff>152400</xdr:rowOff>
    </xdr:to>
    <xdr:pic>
      <xdr:nvPicPr>
        <xdr:cNvPr id="33" name="Picture 32">
          <a:extLst>
            <a:ext uri="{FF2B5EF4-FFF2-40B4-BE49-F238E27FC236}">
              <a16:creationId xmlns:a16="http://schemas.microsoft.com/office/drawing/2014/main" id="{CB70A6A1-EB7C-4580-892E-ACF077A04F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97500" y="4524375"/>
          <a:ext cx="3863975" cy="366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246062</xdr:colOff>
      <xdr:row>51</xdr:row>
      <xdr:rowOff>142875</xdr:rowOff>
    </xdr:from>
    <xdr:to>
      <xdr:col>11</xdr:col>
      <xdr:colOff>204787</xdr:colOff>
      <xdr:row>75</xdr:row>
      <xdr:rowOff>122238</xdr:rowOff>
    </xdr:to>
    <xdr:pic>
      <xdr:nvPicPr>
        <xdr:cNvPr id="35" name="Picture 34">
          <a:extLst>
            <a:ext uri="{FF2B5EF4-FFF2-40B4-BE49-F238E27FC236}">
              <a16:creationId xmlns:a16="http://schemas.microsoft.com/office/drawing/2014/main" id="{47B3830A-0791-41A3-8136-686A94BADBB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0437" y="8334375"/>
          <a:ext cx="3863975" cy="3789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523875</xdr:colOff>
      <xdr:row>77</xdr:row>
      <xdr:rowOff>55562</xdr:rowOff>
    </xdr:from>
    <xdr:to>
      <xdr:col>13</xdr:col>
      <xdr:colOff>604838</xdr:colOff>
      <xdr:row>99</xdr:row>
      <xdr:rowOff>136525</xdr:rowOff>
    </xdr:to>
    <xdr:pic>
      <xdr:nvPicPr>
        <xdr:cNvPr id="37" name="Picture 36">
          <a:extLst>
            <a:ext uri="{FF2B5EF4-FFF2-40B4-BE49-F238E27FC236}">
              <a16:creationId xmlns:a16="http://schemas.microsoft.com/office/drawing/2014/main" id="{5FC2F389-33F4-41F6-B8D7-642CE752E9A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5125" y="12453937"/>
          <a:ext cx="7278688" cy="3573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325438</xdr:colOff>
      <xdr:row>101</xdr:row>
      <xdr:rowOff>119063</xdr:rowOff>
    </xdr:from>
    <xdr:to>
      <xdr:col>11</xdr:col>
      <xdr:colOff>284163</xdr:colOff>
      <xdr:row>122</xdr:row>
      <xdr:rowOff>31751</xdr:rowOff>
    </xdr:to>
    <xdr:pic>
      <xdr:nvPicPr>
        <xdr:cNvPr id="40" name="Picture 39">
          <a:extLst>
            <a:ext uri="{FF2B5EF4-FFF2-40B4-BE49-F238E27FC236}">
              <a16:creationId xmlns:a16="http://schemas.microsoft.com/office/drawing/2014/main" id="{BD6DAA13-8E09-43EB-8613-D9C7497498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79813" y="16248063"/>
          <a:ext cx="3863975" cy="324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301625</xdr:colOff>
      <xdr:row>124</xdr:row>
      <xdr:rowOff>15875</xdr:rowOff>
    </xdr:from>
    <xdr:to>
      <xdr:col>8</xdr:col>
      <xdr:colOff>260350</xdr:colOff>
      <xdr:row>142</xdr:row>
      <xdr:rowOff>87313</xdr:rowOff>
    </xdr:to>
    <xdr:pic>
      <xdr:nvPicPr>
        <xdr:cNvPr id="42" name="Picture 41">
          <a:extLst>
            <a:ext uri="{FF2B5EF4-FFF2-40B4-BE49-F238E27FC236}">
              <a16:creationId xmlns:a16="http://schemas.microsoft.com/office/drawing/2014/main" id="{CDAF7C7D-2C54-44AA-8991-5C10947ACE7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22875" y="19875500"/>
          <a:ext cx="3863975" cy="2928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301626</xdr:colOff>
      <xdr:row>145</xdr:row>
      <xdr:rowOff>7937</xdr:rowOff>
    </xdr:from>
    <xdr:to>
      <xdr:col>8</xdr:col>
      <xdr:colOff>277814</xdr:colOff>
      <xdr:row>157</xdr:row>
      <xdr:rowOff>150812</xdr:rowOff>
    </xdr:to>
    <xdr:pic>
      <xdr:nvPicPr>
        <xdr:cNvPr id="46" name="Picture 45">
          <a:extLst>
            <a:ext uri="{FF2B5EF4-FFF2-40B4-BE49-F238E27FC236}">
              <a16:creationId xmlns:a16="http://schemas.microsoft.com/office/drawing/2014/main" id="{4AF6CDBE-954C-4608-ADF0-A15D65FBB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22876" y="23201312"/>
          <a:ext cx="3881438"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531815</xdr:colOff>
      <xdr:row>145</xdr:row>
      <xdr:rowOff>0</xdr:rowOff>
    </xdr:from>
    <xdr:to>
      <xdr:col>14</xdr:col>
      <xdr:colOff>523877</xdr:colOff>
      <xdr:row>157</xdr:row>
      <xdr:rowOff>142875</xdr:rowOff>
    </xdr:to>
    <xdr:pic>
      <xdr:nvPicPr>
        <xdr:cNvPr id="48" name="Picture 47">
          <a:extLst>
            <a:ext uri="{FF2B5EF4-FFF2-40B4-BE49-F238E27FC236}">
              <a16:creationId xmlns:a16="http://schemas.microsoft.com/office/drawing/2014/main" id="{97F8B929-56E3-4FE8-A8C2-73C4E1144A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58315" y="23193375"/>
          <a:ext cx="3897312"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611188</xdr:colOff>
      <xdr:row>160</xdr:row>
      <xdr:rowOff>0</xdr:rowOff>
    </xdr:from>
    <xdr:to>
      <xdr:col>18</xdr:col>
      <xdr:colOff>436563</xdr:colOff>
      <xdr:row>189</xdr:row>
      <xdr:rowOff>90488</xdr:rowOff>
    </xdr:to>
    <xdr:pic>
      <xdr:nvPicPr>
        <xdr:cNvPr id="49" name="Picture 48">
          <a:extLst>
            <a:ext uri="{FF2B5EF4-FFF2-40B4-BE49-F238E27FC236}">
              <a16:creationId xmlns:a16="http://schemas.microsoft.com/office/drawing/2014/main" id="{D120800F-A17C-419F-89A6-08C1442E94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881563" y="25574625"/>
          <a:ext cx="10890250" cy="4694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455082</xdr:colOff>
      <xdr:row>124</xdr:row>
      <xdr:rowOff>5291</xdr:rowOff>
    </xdr:from>
    <xdr:to>
      <xdr:col>14</xdr:col>
      <xdr:colOff>419100</xdr:colOff>
      <xdr:row>142</xdr:row>
      <xdr:rowOff>138641</xdr:rowOff>
    </xdr:to>
    <xdr:pic>
      <xdr:nvPicPr>
        <xdr:cNvPr id="52" name="Picture 51">
          <a:extLst>
            <a:ext uri="{FF2B5EF4-FFF2-40B4-BE49-F238E27FC236}">
              <a16:creationId xmlns:a16="http://schemas.microsoft.com/office/drawing/2014/main" id="{3CFD220B-E488-46F1-B6AC-F2C580859F3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81582" y="19864916"/>
          <a:ext cx="3869268"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49741</xdr:colOff>
      <xdr:row>1</xdr:row>
      <xdr:rowOff>56092</xdr:rowOff>
    </xdr:from>
    <xdr:to>
      <xdr:col>1</xdr:col>
      <xdr:colOff>398601</xdr:colOff>
      <xdr:row>1</xdr:row>
      <xdr:rowOff>283428</xdr:rowOff>
    </xdr:to>
    <xdr:pic>
      <xdr:nvPicPr>
        <xdr:cNvPr id="2" name="Picture 1" descr="http://landsarwellington.org/wp-content/uploads/2018/02/Meridian.jpg">
          <a:extLst>
            <a:ext uri="{FF2B5EF4-FFF2-40B4-BE49-F238E27FC236}">
              <a16:creationId xmlns:a16="http://schemas.microsoft.com/office/drawing/2014/main" id="{6019CD9D-76DC-49CE-8024-86FBA5A249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566" y="220134"/>
          <a:ext cx="620852" cy="227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767751</xdr:colOff>
      <xdr:row>66</xdr:row>
      <xdr:rowOff>131188</xdr:rowOff>
    </xdr:from>
    <xdr:to>
      <xdr:col>26</xdr:col>
      <xdr:colOff>797091</xdr:colOff>
      <xdr:row>66</xdr:row>
      <xdr:rowOff>131368</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7C89111B-89A6-42E3-968C-1732DF847307}"/>
                </a:ext>
              </a:extLst>
            </xdr14:cNvPr>
            <xdr14:cNvContentPartPr/>
          </xdr14:nvContentPartPr>
          <xdr14:nvPr macro=""/>
          <xdr14:xfrm>
            <a:off x="13019040" y="11055780"/>
            <a:ext cx="29340" cy="180"/>
          </xdr14:xfrm>
        </xdr:contentPart>
      </mc:Choice>
      <mc:Fallback xmlns="">
        <xdr:pic>
          <xdr:nvPicPr>
            <xdr:cNvPr id="3" name="Ink 2">
              <a:extLst>
                <a:ext uri="{FF2B5EF4-FFF2-40B4-BE49-F238E27FC236}">
                  <a16:creationId xmlns:a16="http://schemas.microsoft.com/office/drawing/2014/main" id="{7C89111B-89A6-42E3-968C-1732DF847307}"/>
                </a:ext>
              </a:extLst>
            </xdr:cNvPr>
            <xdr:cNvPicPr/>
          </xdr:nvPicPr>
          <xdr:blipFill>
            <a:blip xmlns:r="http://schemas.openxmlformats.org/officeDocument/2006/relationships" r:embed="rId2"/>
            <a:stretch>
              <a:fillRect/>
            </a:stretch>
          </xdr:blipFill>
          <xdr:spPr>
            <a:xfrm>
              <a:off x="13014389" y="11053440"/>
              <a:ext cx="38643" cy="486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101</xdr:row>
      <xdr:rowOff>0</xdr:rowOff>
    </xdr:from>
    <xdr:to>
      <xdr:col>40</xdr:col>
      <xdr:colOff>523876</xdr:colOff>
      <xdr:row>105</xdr:row>
      <xdr:rowOff>93133</xdr:rowOff>
    </xdr:to>
    <xdr:pic>
      <xdr:nvPicPr>
        <xdr:cNvPr id="3" name="Picture 2">
          <a:extLst>
            <a:ext uri="{FF2B5EF4-FFF2-40B4-BE49-F238E27FC236}">
              <a16:creationId xmlns:a16="http://schemas.microsoft.com/office/drawing/2014/main" id="{59B9E93C-A77D-4E41-9899-8E17A4D423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101</xdr:row>
      <xdr:rowOff>0</xdr:rowOff>
    </xdr:from>
    <xdr:to>
      <xdr:col>40</xdr:col>
      <xdr:colOff>523876</xdr:colOff>
      <xdr:row>105</xdr:row>
      <xdr:rowOff>93133</xdr:rowOff>
    </xdr:to>
    <xdr:pic>
      <xdr:nvPicPr>
        <xdr:cNvPr id="4" name="Picture 3">
          <a:extLst>
            <a:ext uri="{FF2B5EF4-FFF2-40B4-BE49-F238E27FC236}">
              <a16:creationId xmlns:a16="http://schemas.microsoft.com/office/drawing/2014/main" id="{B1CA2B29-B720-4E31-965D-EF2B4E4CB1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9713" y="16549688"/>
          <a:ext cx="1641633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21261</xdr:colOff>
      <xdr:row>71</xdr:row>
      <xdr:rowOff>4763</xdr:rowOff>
    </xdr:from>
    <xdr:to>
      <xdr:col>8</xdr:col>
      <xdr:colOff>849</xdr:colOff>
      <xdr:row>83</xdr:row>
      <xdr:rowOff>80792</xdr:rowOff>
    </xdr:to>
    <xdr:graphicFrame macro="">
      <xdr:nvGraphicFramePr>
        <xdr:cNvPr id="15" name="Chart 14">
          <a:extLst>
            <a:ext uri="{FF2B5EF4-FFF2-40B4-BE49-F238E27FC236}">
              <a16:creationId xmlns:a16="http://schemas.microsoft.com/office/drawing/2014/main" id="{7A31E12B-D9FF-436B-9EAE-F47B12EB7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182</xdr:row>
      <xdr:rowOff>83342</xdr:rowOff>
    </xdr:from>
    <xdr:to>
      <xdr:col>12</xdr:col>
      <xdr:colOff>11906</xdr:colOff>
      <xdr:row>199</xdr:row>
      <xdr:rowOff>73817</xdr:rowOff>
    </xdr:to>
    <xdr:graphicFrame macro="">
      <xdr:nvGraphicFramePr>
        <xdr:cNvPr id="18" name="Chart 17">
          <a:extLst>
            <a:ext uri="{FF2B5EF4-FFF2-40B4-BE49-F238E27FC236}">
              <a16:creationId xmlns:a16="http://schemas.microsoft.com/office/drawing/2014/main" id="{E8856D87-8012-4FF6-8585-0FFEA5C8E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512617</xdr:colOff>
      <xdr:row>210</xdr:row>
      <xdr:rowOff>51712</xdr:rowOff>
    </xdr:from>
    <xdr:to>
      <xdr:col>10</xdr:col>
      <xdr:colOff>512797</xdr:colOff>
      <xdr:row>210</xdr:row>
      <xdr:rowOff>51892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8" name="Ink 37">
              <a:extLst>
                <a:ext uri="{FF2B5EF4-FFF2-40B4-BE49-F238E27FC236}">
                  <a16:creationId xmlns:a16="http://schemas.microsoft.com/office/drawing/2014/main" id="{DA076196-02E1-445F-A88D-D1DB40848D6B}"/>
                </a:ext>
              </a:extLst>
            </xdr14:cNvPr>
            <xdr14:cNvContentPartPr/>
          </xdr14:nvContentPartPr>
          <xdr14:nvPr macro=""/>
          <xdr14:xfrm>
            <a:off x="8899380" y="26088300"/>
            <a:ext cx="180" cy="180"/>
          </xdr14:xfrm>
        </xdr:contentPart>
      </mc:Choice>
      <mc:Fallback xmlns="">
        <xdr:pic>
          <xdr:nvPicPr>
            <xdr:cNvPr id="38" name="Ink 37">
              <a:extLst>
                <a:ext uri="{FF2B5EF4-FFF2-40B4-BE49-F238E27FC236}">
                  <a16:creationId xmlns:a16="http://schemas.microsoft.com/office/drawing/2014/main" id="{DA076196-02E1-445F-A88D-D1DB40848D6B}"/>
                </a:ext>
              </a:extLst>
            </xdr:cNvPr>
            <xdr:cNvPicPr/>
          </xdr:nvPicPr>
          <xdr:blipFill/>
          <xdr:spPr/>
        </xdr:pic>
      </mc:Fallback>
    </mc:AlternateContent>
    <xdr:clientData/>
  </xdr:twoCellAnchor>
  <xdr:twoCellAnchor>
    <xdr:from>
      <xdr:col>9</xdr:col>
      <xdr:colOff>367125</xdr:colOff>
      <xdr:row>193</xdr:row>
      <xdr:rowOff>147487</xdr:rowOff>
    </xdr:from>
    <xdr:to>
      <xdr:col>9</xdr:col>
      <xdr:colOff>367305</xdr:colOff>
      <xdr:row>193</xdr:row>
      <xdr:rowOff>147667</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54" name="Ink 53">
              <a:extLst>
                <a:ext uri="{FF2B5EF4-FFF2-40B4-BE49-F238E27FC236}">
                  <a16:creationId xmlns:a16="http://schemas.microsoft.com/office/drawing/2014/main" id="{5708CFAE-74F7-4879-96B9-7DB3F0DFF25A}"/>
                </a:ext>
              </a:extLst>
            </xdr14:cNvPr>
            <xdr14:cNvContentPartPr/>
          </xdr14:nvContentPartPr>
          <xdr14:nvPr macro=""/>
          <xdr14:xfrm>
            <a:off x="10835100" y="26993700"/>
            <a:ext cx="180" cy="180"/>
          </xdr14:xfrm>
        </xdr:contentPart>
      </mc:Choice>
      <mc:Fallback xmlns="">
        <xdr:pic>
          <xdr:nvPicPr>
            <xdr:cNvPr id="54" name="Ink 53">
              <a:extLst>
                <a:ext uri="{FF2B5EF4-FFF2-40B4-BE49-F238E27FC236}">
                  <a16:creationId xmlns:a16="http://schemas.microsoft.com/office/drawing/2014/main" id="{5708CFAE-74F7-4879-96B9-7DB3F0DFF25A}"/>
                </a:ext>
              </a:extLst>
            </xdr:cNvPr>
            <xdr:cNvPicPr/>
          </xdr:nvPicPr>
          <xdr:blipFill/>
          <xdr:spPr/>
        </xdr:pic>
      </mc:Fallback>
    </mc:AlternateContent>
    <xdr:clientData/>
  </xdr:twoCellAnchor>
  <xdr:twoCellAnchor>
    <xdr:from>
      <xdr:col>8</xdr:col>
      <xdr:colOff>397425</xdr:colOff>
      <xdr:row>211</xdr:row>
      <xdr:rowOff>147367</xdr:rowOff>
    </xdr:from>
    <xdr:to>
      <xdr:col>8</xdr:col>
      <xdr:colOff>397605</xdr:colOff>
      <xdr:row>211</xdr:row>
      <xdr:rowOff>147547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6" name="Ink 55">
              <a:extLst>
                <a:ext uri="{FF2B5EF4-FFF2-40B4-BE49-F238E27FC236}">
                  <a16:creationId xmlns:a16="http://schemas.microsoft.com/office/drawing/2014/main" id="{6050EDC3-78ED-4C5B-A8C7-27118D24C81E}"/>
                </a:ext>
              </a:extLst>
            </xdr14:cNvPr>
            <xdr14:cNvContentPartPr/>
          </xdr14:nvContentPartPr>
          <xdr14:nvPr macro=""/>
          <xdr14:xfrm>
            <a:off x="10217700" y="26345880"/>
            <a:ext cx="180" cy="180"/>
          </xdr14:xfrm>
        </xdr:contentPart>
      </mc:Choice>
      <mc:Fallback xmlns="">
        <xdr:pic>
          <xdr:nvPicPr>
            <xdr:cNvPr id="56" name="Ink 55">
              <a:extLst>
                <a:ext uri="{FF2B5EF4-FFF2-40B4-BE49-F238E27FC236}">
                  <a16:creationId xmlns:a16="http://schemas.microsoft.com/office/drawing/2014/main" id="{6050EDC3-78ED-4C5B-A8C7-27118D24C81E}"/>
                </a:ext>
              </a:extLst>
            </xdr:cNvPr>
            <xdr:cNvPicPr/>
          </xdr:nvPicPr>
          <xdr:blipFill/>
          <xdr:spPr/>
        </xdr:pic>
      </mc:Fallback>
    </mc:AlternateContent>
    <xdr:clientData/>
  </xdr:twoCellAnchor>
  <xdr:twoCellAnchor>
    <xdr:from>
      <xdr:col>1</xdr:col>
      <xdr:colOff>23811</xdr:colOff>
      <xdr:row>297</xdr:row>
      <xdr:rowOff>14286</xdr:rowOff>
    </xdr:from>
    <xdr:to>
      <xdr:col>7</xdr:col>
      <xdr:colOff>4763</xdr:colOff>
      <xdr:row>311</xdr:row>
      <xdr:rowOff>0</xdr:rowOff>
    </xdr:to>
    <xdr:graphicFrame macro="">
      <xdr:nvGraphicFramePr>
        <xdr:cNvPr id="59" name="Chart 58">
          <a:extLst>
            <a:ext uri="{FF2B5EF4-FFF2-40B4-BE49-F238E27FC236}">
              <a16:creationId xmlns:a16="http://schemas.microsoft.com/office/drawing/2014/main" id="{B424479E-A172-4059-BF71-EA884B697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643710</xdr:colOff>
      <xdr:row>281</xdr:row>
      <xdr:rowOff>155047</xdr:rowOff>
    </xdr:from>
    <xdr:to>
      <xdr:col>18</xdr:col>
      <xdr:colOff>643890</xdr:colOff>
      <xdr:row>281</xdr:row>
      <xdr:rowOff>155227</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92" name="Ink 91">
              <a:extLst>
                <a:ext uri="{FF2B5EF4-FFF2-40B4-BE49-F238E27FC236}">
                  <a16:creationId xmlns:a16="http://schemas.microsoft.com/office/drawing/2014/main" id="{63A6D05C-F310-406F-90D6-5205C62A7071}"/>
                </a:ext>
              </a:extLst>
            </xdr14:cNvPr>
            <xdr14:cNvContentPartPr/>
          </xdr14:nvContentPartPr>
          <xdr14:nvPr macro=""/>
          <xdr14:xfrm>
            <a:off x="13121460" y="42317460"/>
            <a:ext cx="180" cy="180"/>
          </xdr14:xfrm>
        </xdr:contentPart>
      </mc:Choice>
      <mc:Fallback xmlns="">
        <xdr:pic>
          <xdr:nvPicPr>
            <xdr:cNvPr id="92" name="Ink 91">
              <a:extLst>
                <a:ext uri="{FF2B5EF4-FFF2-40B4-BE49-F238E27FC236}">
                  <a16:creationId xmlns:a16="http://schemas.microsoft.com/office/drawing/2014/main" id="{63A6D05C-F310-406F-90D6-5205C62A7071}"/>
                </a:ext>
              </a:extLst>
            </xdr:cNvPr>
            <xdr:cNvPicPr/>
          </xdr:nvPicPr>
          <xdr:blipFill/>
          <xdr:spPr/>
        </xdr:pic>
      </mc:Fallback>
    </mc:AlternateContent>
    <xdr:clientData/>
  </xdr:twoCellAnchor>
  <xdr:twoCellAnchor>
    <xdr:from>
      <xdr:col>4</xdr:col>
      <xdr:colOff>268897</xdr:colOff>
      <xdr:row>279</xdr:row>
      <xdr:rowOff>21517</xdr:rowOff>
    </xdr:from>
    <xdr:to>
      <xdr:col>4</xdr:col>
      <xdr:colOff>269257</xdr:colOff>
      <xdr:row>279</xdr:row>
      <xdr:rowOff>21877</xdr:rowOff>
    </xdr:to>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111" name="Ink 110">
              <a:extLst>
                <a:ext uri="{FF2B5EF4-FFF2-40B4-BE49-F238E27FC236}">
                  <a16:creationId xmlns:a16="http://schemas.microsoft.com/office/drawing/2014/main" id="{36E36D0F-2771-4AF5-928E-EF38A35D10D0}"/>
                </a:ext>
              </a:extLst>
            </xdr14:cNvPr>
            <xdr14:cNvContentPartPr/>
          </xdr14:nvContentPartPr>
          <xdr14:nvPr macro=""/>
          <xdr14:xfrm>
            <a:off x="8655660" y="41860080"/>
            <a:ext cx="360" cy="360"/>
          </xdr14:xfrm>
        </xdr:contentPart>
      </mc:Choice>
      <mc:Fallback xmlns="">
        <xdr:pic>
          <xdr:nvPicPr>
            <xdr:cNvPr id="111" name="Ink 110">
              <a:extLst>
                <a:ext uri="{FF2B5EF4-FFF2-40B4-BE49-F238E27FC236}">
                  <a16:creationId xmlns:a16="http://schemas.microsoft.com/office/drawing/2014/main" id="{36E36D0F-2771-4AF5-928E-EF38A35D10D0}"/>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113" name="Ink 112">
              <a:extLst>
                <a:ext uri="{FF2B5EF4-FFF2-40B4-BE49-F238E27FC236}">
                  <a16:creationId xmlns:a16="http://schemas.microsoft.com/office/drawing/2014/main" id="{63675405-99A4-4C6A-BE88-C1A2B9E2648C}"/>
                </a:ext>
              </a:extLst>
            </xdr14:cNvPr>
            <xdr14:cNvContentPartPr/>
          </xdr14:nvContentPartPr>
          <xdr14:nvPr macro=""/>
          <xdr14:xfrm>
            <a:off x="0" y="0"/>
            <a:ext cx="0" cy="0"/>
          </xdr14:xfrm>
        </xdr:contentPart>
      </mc:Choice>
      <mc:Fallback xmlns="">
        <xdr:pic>
          <xdr:nvPicPr>
            <xdr:cNvPr id="113" name="Ink 112">
              <a:extLst>
                <a:ext uri="{FF2B5EF4-FFF2-40B4-BE49-F238E27FC236}">
                  <a16:creationId xmlns:a16="http://schemas.microsoft.com/office/drawing/2014/main" id="{63675405-99A4-4C6A-BE88-C1A2B9E2648C}"/>
                </a:ext>
              </a:extLst>
            </xdr:cNvPr>
            <xdr:cNvPicPr/>
          </xdr:nvPicPr>
          <xdr:blipFill/>
          <xdr:spPr/>
        </xdr:pic>
      </mc:Fallback>
    </mc:AlternateContent>
    <xdr:clientData/>
  </xdr:twoCellAnchor>
  <xdr:twoCellAnchor>
    <xdr:from>
      <xdr:col>1</xdr:col>
      <xdr:colOff>17007</xdr:colOff>
      <xdr:row>440</xdr:row>
      <xdr:rowOff>10205</xdr:rowOff>
    </xdr:from>
    <xdr:to>
      <xdr:col>7</xdr:col>
      <xdr:colOff>26533</xdr:colOff>
      <xdr:row>455</xdr:row>
      <xdr:rowOff>144575</xdr:rowOff>
    </xdr:to>
    <xdr:graphicFrame macro="">
      <xdr:nvGraphicFramePr>
        <xdr:cNvPr id="119" name="Chart 118">
          <a:extLst>
            <a:ext uri="{FF2B5EF4-FFF2-40B4-BE49-F238E27FC236}">
              <a16:creationId xmlns:a16="http://schemas.microsoft.com/office/drawing/2014/main" id="{D21FE939-A94E-4082-B9F5-4868D9E070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19674</xdr:colOff>
      <xdr:row>410</xdr:row>
      <xdr:rowOff>11623</xdr:rowOff>
    </xdr:from>
    <xdr:to>
      <xdr:col>7</xdr:col>
      <xdr:colOff>52047</xdr:colOff>
      <xdr:row>428</xdr:row>
      <xdr:rowOff>148827</xdr:rowOff>
    </xdr:to>
    <xdr:graphicFrame macro="">
      <xdr:nvGraphicFramePr>
        <xdr:cNvPr id="120" name="Chart 119">
          <a:extLst>
            <a:ext uri="{FF2B5EF4-FFF2-40B4-BE49-F238E27FC236}">
              <a16:creationId xmlns:a16="http://schemas.microsoft.com/office/drawing/2014/main" id="{527505EA-1678-441B-8967-66768D227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327952</xdr:colOff>
      <xdr:row>290</xdr:row>
      <xdr:rowOff>84367</xdr:rowOff>
    </xdr:from>
    <xdr:to>
      <xdr:col>12</xdr:col>
      <xdr:colOff>328132</xdr:colOff>
      <xdr:row>290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30" name="Ink 129">
              <a:extLst>
                <a:ext uri="{FF2B5EF4-FFF2-40B4-BE49-F238E27FC236}">
                  <a16:creationId xmlns:a16="http://schemas.microsoft.com/office/drawing/2014/main" id="{95C04C17-C89E-45DA-9465-0C2D3EDDA9E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7</xdr:col>
      <xdr:colOff>206152</xdr:colOff>
      <xdr:row>283</xdr:row>
      <xdr:rowOff>159142</xdr:rowOff>
    </xdr:from>
    <xdr:to>
      <xdr:col>7</xdr:col>
      <xdr:colOff>206332</xdr:colOff>
      <xdr:row>283</xdr:row>
      <xdr:rowOff>159322</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3" name="Ink 132">
              <a:extLst>
                <a:ext uri="{FF2B5EF4-FFF2-40B4-BE49-F238E27FC236}">
                  <a16:creationId xmlns:a16="http://schemas.microsoft.com/office/drawing/2014/main" id="{CB530F10-0EF4-432E-8BEC-11918F2299BA}"/>
                </a:ext>
              </a:extLst>
            </xdr14:cNvPr>
            <xdr14:cNvContentPartPr/>
          </xdr14:nvContentPartPr>
          <xdr14:nvPr macro=""/>
          <xdr14:xfrm>
            <a:off x="10926540" y="41835780"/>
            <a:ext cx="180" cy="180"/>
          </xdr14:xfrm>
        </xdr:contentPart>
      </mc:Choice>
      <mc:Fallback xmlns="">
        <xdr:pic>
          <xdr:nvPicPr>
            <xdr:cNvPr id="133" name="Ink 132">
              <a:extLst>
                <a:ext uri="{FF2B5EF4-FFF2-40B4-BE49-F238E27FC236}">
                  <a16:creationId xmlns:a16="http://schemas.microsoft.com/office/drawing/2014/main" id="{CB530F10-0EF4-432E-8BEC-11918F2299BA}"/>
                </a:ext>
              </a:extLst>
            </xdr:cNvPr>
            <xdr:cNvPicPr/>
          </xdr:nvPicPr>
          <xdr:blipFill/>
          <xdr:spPr/>
        </xdr:pic>
      </mc:Fallback>
    </mc:AlternateContent>
    <xdr:clientData/>
  </xdr:twoCellAnchor>
  <xdr:twoCellAnchor>
    <xdr:from>
      <xdr:col>3</xdr:col>
      <xdr:colOff>271455</xdr:colOff>
      <xdr:row>274</xdr:row>
      <xdr:rowOff>38767</xdr:rowOff>
    </xdr:from>
    <xdr:to>
      <xdr:col>3</xdr:col>
      <xdr:colOff>271815</xdr:colOff>
      <xdr:row>274</xdr:row>
      <xdr:rowOff>39127</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6" name="Ink 145">
              <a:extLst>
                <a:ext uri="{FF2B5EF4-FFF2-40B4-BE49-F238E27FC236}">
                  <a16:creationId xmlns:a16="http://schemas.microsoft.com/office/drawing/2014/main" id="{15C244DF-E113-4E5E-B77A-798883084D6F}"/>
                </a:ext>
              </a:extLst>
            </xdr14:cNvPr>
            <xdr14:cNvContentPartPr/>
          </xdr14:nvContentPartPr>
          <xdr14:nvPr macro=""/>
          <xdr14:xfrm>
            <a:off x="8053380" y="40258080"/>
            <a:ext cx="360" cy="360"/>
          </xdr14:xfrm>
        </xdr:contentPart>
      </mc:Choice>
      <mc:Fallback xmlns="">
        <xdr:pic>
          <xdr:nvPicPr>
            <xdr:cNvPr id="146" name="Ink 145">
              <a:extLst>
                <a:ext uri="{FF2B5EF4-FFF2-40B4-BE49-F238E27FC236}">
                  <a16:creationId xmlns:a16="http://schemas.microsoft.com/office/drawing/2014/main" id="{15C244DF-E113-4E5E-B77A-798883084D6F}"/>
                </a:ext>
              </a:extLst>
            </xdr:cNvPr>
            <xdr:cNvPicPr/>
          </xdr:nvPicPr>
          <xdr:blipFill/>
          <xdr:spPr/>
        </xdr:pic>
      </mc:Fallback>
    </mc:AlternateContent>
    <xdr:clientData/>
  </xdr:twoCellAnchor>
  <xdr:twoCellAnchor>
    <xdr:from>
      <xdr:col>1</xdr:col>
      <xdr:colOff>0</xdr:colOff>
      <xdr:row>154</xdr:row>
      <xdr:rowOff>0</xdr:rowOff>
    </xdr:from>
    <xdr:to>
      <xdr:col>1</xdr:col>
      <xdr:colOff>0</xdr:colOff>
      <xdr:row>154</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7" name="Ink 146">
              <a:extLst>
                <a:ext uri="{FF2B5EF4-FFF2-40B4-BE49-F238E27FC236}">
                  <a16:creationId xmlns:a16="http://schemas.microsoft.com/office/drawing/2014/main" id="{9C1FF3A3-7B74-4095-B5AC-6DFB83C35C04}"/>
                </a:ext>
              </a:extLst>
            </xdr14:cNvPr>
            <xdr14:cNvContentPartPr/>
          </xdr14:nvContentPartPr>
          <xdr14:nvPr macro=""/>
          <xdr14:xfrm>
            <a:off x="0" y="0"/>
            <a:ext cx="0" cy="0"/>
          </xdr14:xfrm>
        </xdr:contentPart>
      </mc:Choice>
      <mc:Fallback xmlns="">
        <xdr:pic>
          <xdr:nvPicPr>
            <xdr:cNvPr id="147" name="Ink 146">
              <a:extLst>
                <a:ext uri="{FF2B5EF4-FFF2-40B4-BE49-F238E27FC236}">
                  <a16:creationId xmlns:a16="http://schemas.microsoft.com/office/drawing/2014/main" id="{9C1FF3A3-7B74-4095-B5AC-6DFB83C35C04}"/>
                </a:ext>
              </a:extLst>
            </xdr:cNvPr>
            <xdr:cNvPicPr/>
          </xdr:nvPicPr>
          <xdr:blipFill/>
          <xdr:spPr/>
        </xdr:pic>
      </mc:Fallback>
    </mc:AlternateContent>
    <xdr:clientData/>
  </xdr:twoCellAnchor>
  <xdr:twoCellAnchor>
    <xdr:from>
      <xdr:col>1</xdr:col>
      <xdr:colOff>9525</xdr:colOff>
      <xdr:row>270</xdr:row>
      <xdr:rowOff>157162</xdr:rowOff>
    </xdr:from>
    <xdr:to>
      <xdr:col>7</xdr:col>
      <xdr:colOff>9525</xdr:colOff>
      <xdr:row>283</xdr:row>
      <xdr:rowOff>9525</xdr:rowOff>
    </xdr:to>
    <xdr:graphicFrame macro="">
      <xdr:nvGraphicFramePr>
        <xdr:cNvPr id="151" name="Chart 150">
          <a:extLst>
            <a:ext uri="{FF2B5EF4-FFF2-40B4-BE49-F238E27FC236}">
              <a16:creationId xmlns:a16="http://schemas.microsoft.com/office/drawing/2014/main" id="{63331BE6-EBB1-41C5-8F3E-A2DD5E71D0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7</xdr:col>
      <xdr:colOff>200025</xdr:colOff>
      <xdr:row>273</xdr:row>
      <xdr:rowOff>114300</xdr:rowOff>
    </xdr:from>
    <xdr:ext cx="184731" cy="264560"/>
    <xdr:sp macro="" textlink="">
      <xdr:nvSpPr>
        <xdr:cNvPr id="152" name="TextBox 151">
          <a:extLst>
            <a:ext uri="{FF2B5EF4-FFF2-40B4-BE49-F238E27FC236}">
              <a16:creationId xmlns:a16="http://schemas.microsoft.com/office/drawing/2014/main" id="{35B4CA82-980D-460B-B0ED-1C9726BA9901}"/>
            </a:ext>
          </a:extLst>
        </xdr:cNvPr>
        <xdr:cNvSpPr txBox="1"/>
      </xdr:nvSpPr>
      <xdr:spPr>
        <a:xfrm>
          <a:off x="10920413" y="4017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oneCellAnchor>
    <xdr:from>
      <xdr:col>2</xdr:col>
      <xdr:colOff>871538</xdr:colOff>
      <xdr:row>273</xdr:row>
      <xdr:rowOff>133350</xdr:rowOff>
    </xdr:from>
    <xdr:ext cx="184731" cy="264560"/>
    <xdr:sp macro="" textlink="">
      <xdr:nvSpPr>
        <xdr:cNvPr id="156" name="TextBox 155">
          <a:extLst>
            <a:ext uri="{FF2B5EF4-FFF2-40B4-BE49-F238E27FC236}">
              <a16:creationId xmlns:a16="http://schemas.microsoft.com/office/drawing/2014/main" id="{6BB99118-FE38-4870-81CC-D8D7340BBBB9}"/>
            </a:ext>
          </a:extLst>
        </xdr:cNvPr>
        <xdr:cNvSpPr txBox="1"/>
      </xdr:nvSpPr>
      <xdr:spPr>
        <a:xfrm>
          <a:off x="1166813" y="4019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13</xdr:col>
      <xdr:colOff>282352</xdr:colOff>
      <xdr:row>265</xdr:row>
      <xdr:rowOff>0</xdr:rowOff>
    </xdr:from>
    <xdr:to>
      <xdr:col>14</xdr:col>
      <xdr:colOff>412072</xdr:colOff>
      <xdr:row>273</xdr:row>
      <xdr:rowOff>97372</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5" name="Ink 24">
              <a:extLst>
                <a:ext uri="{FF2B5EF4-FFF2-40B4-BE49-F238E27FC236}">
                  <a16:creationId xmlns:a16="http://schemas.microsoft.com/office/drawing/2014/main" id="{61EDDE74-E777-40D0-92B3-751863D783F3}"/>
                </a:ext>
              </a:extLst>
            </xdr14:cNvPr>
            <xdr14:cNvContentPartPr/>
          </xdr14:nvContentPartPr>
          <xdr14:nvPr macro=""/>
          <xdr14:xfrm>
            <a:off x="10355040" y="38340720"/>
            <a:ext cx="777420" cy="1814040"/>
          </xdr14:xfrm>
        </xdr:contentPart>
      </mc:Choice>
      <mc:Fallback xmlns="">
        <xdr:pic>
          <xdr:nvPicPr>
            <xdr:cNvPr id="25" name="Ink 24">
              <a:extLst>
                <a:ext uri="{FF2B5EF4-FFF2-40B4-BE49-F238E27FC236}">
                  <a16:creationId xmlns:a16="http://schemas.microsoft.com/office/drawing/2014/main" id="{61EDDE74-E777-40D0-92B3-751863D783F3}"/>
                </a:ext>
              </a:extLst>
            </xdr:cNvPr>
            <xdr:cNvPicPr/>
          </xdr:nvPicPr>
          <xdr:blipFill/>
          <xdr:spPr/>
        </xdr:pic>
      </mc:Fallback>
    </mc:AlternateContent>
    <xdr:clientData/>
  </xdr:twoCellAnchor>
  <xdr:twoCellAnchor>
    <xdr:from>
      <xdr:col>4</xdr:col>
      <xdr:colOff>609832</xdr:colOff>
      <xdr:row>43</xdr:row>
      <xdr:rowOff>14265</xdr:rowOff>
    </xdr:from>
    <xdr:to>
      <xdr:col>4</xdr:col>
      <xdr:colOff>610012</xdr:colOff>
      <xdr:row>43</xdr:row>
      <xdr:rowOff>14445</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6" name="Ink 25">
              <a:extLst>
                <a:ext uri="{FF2B5EF4-FFF2-40B4-BE49-F238E27FC236}">
                  <a16:creationId xmlns:a16="http://schemas.microsoft.com/office/drawing/2014/main" id="{AF751B7E-888C-42BD-8C2A-1D23CF1671B9}"/>
                </a:ext>
              </a:extLst>
            </xdr14:cNvPr>
            <xdr14:cNvContentPartPr/>
          </xdr14:nvContentPartPr>
          <xdr14:nvPr macro=""/>
          <xdr14:xfrm>
            <a:off x="10034820" y="6557940"/>
            <a:ext cx="180" cy="180"/>
          </xdr14:xfrm>
        </xdr:contentPart>
      </mc:Choice>
      <mc:Fallback xmlns="">
        <xdr:pic>
          <xdr:nvPicPr>
            <xdr:cNvPr id="26" name="Ink 25">
              <a:extLst>
                <a:ext uri="{FF2B5EF4-FFF2-40B4-BE49-F238E27FC236}">
                  <a16:creationId xmlns:a16="http://schemas.microsoft.com/office/drawing/2014/main" id="{AF751B7E-888C-42BD-8C2A-1D23CF1671B9}"/>
                </a:ext>
              </a:extLst>
            </xdr:cNvPr>
            <xdr:cNvPicPr/>
          </xdr:nvPicPr>
          <xdr:blipFill/>
          <xdr:spPr/>
        </xdr:pic>
      </mc:Fallback>
    </mc:AlternateContent>
    <xdr:clientData/>
  </xdr:twoCellAnchor>
  <xdr:twoCellAnchor>
    <xdr:from>
      <xdr:col>2</xdr:col>
      <xdr:colOff>4253</xdr:colOff>
      <xdr:row>133</xdr:row>
      <xdr:rowOff>46774</xdr:rowOff>
    </xdr:from>
    <xdr:to>
      <xdr:col>8</xdr:col>
      <xdr:colOff>4252</xdr:colOff>
      <xdr:row>145</xdr:row>
      <xdr:rowOff>140323</xdr:rowOff>
    </xdr:to>
    <xdr:graphicFrame macro="">
      <xdr:nvGraphicFramePr>
        <xdr:cNvPr id="37" name="Chart 36">
          <a:extLst>
            <a:ext uri="{FF2B5EF4-FFF2-40B4-BE49-F238E27FC236}">
              <a16:creationId xmlns:a16="http://schemas.microsoft.com/office/drawing/2014/main" id="{54653972-18AA-4219-92E4-DBE627272A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562800</xdr:colOff>
      <xdr:row>17</xdr:row>
      <xdr:rowOff>40027</xdr:rowOff>
    </xdr:from>
    <xdr:to>
      <xdr:col>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0" name="Ink 9">
              <a:extLst>
                <a:ext uri="{FF2B5EF4-FFF2-40B4-BE49-F238E27FC236}">
                  <a16:creationId xmlns:a16="http://schemas.microsoft.com/office/drawing/2014/main" id="{FCE91F2D-9C58-46FA-A726-6972953FCFAA}"/>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14</xdr:col>
      <xdr:colOff>381292</xdr:colOff>
      <xdr:row>12</xdr:row>
      <xdr:rowOff>81697</xdr:rowOff>
    </xdr:from>
    <xdr:to>
      <xdr:col>14</xdr:col>
      <xdr:colOff>381472</xdr:colOff>
      <xdr:row>12</xdr:row>
      <xdr:rowOff>81877</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9" name="Ink 18">
              <a:extLst>
                <a:ext uri="{FF2B5EF4-FFF2-40B4-BE49-F238E27FC236}">
                  <a16:creationId xmlns:a16="http://schemas.microsoft.com/office/drawing/2014/main" id="{F7C5FA04-2584-462E-BADB-DF346F5F0EDC}"/>
                </a:ext>
              </a:extLst>
            </xdr14:cNvPr>
            <xdr14:cNvContentPartPr/>
          </xdr14:nvContentPartPr>
          <xdr14:nvPr macro=""/>
          <xdr14:xfrm>
            <a:off x="9730080" y="1381860"/>
            <a:ext cx="180" cy="180"/>
          </xdr14:xfrm>
        </xdr:contentPart>
      </mc:Choice>
      <mc:Fallback xmlns="">
        <xdr:pic>
          <xdr:nvPicPr>
            <xdr:cNvPr id="19" name="Ink 18">
              <a:extLst>
                <a:ext uri="{FF2B5EF4-FFF2-40B4-BE49-F238E27FC236}">
                  <a16:creationId xmlns:a16="http://schemas.microsoft.com/office/drawing/2014/main" id="{F7C5FA04-2584-462E-BADB-DF346F5F0EDC}"/>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4" name="Ink 23">
              <a:extLst>
                <a:ext uri="{FF2B5EF4-FFF2-40B4-BE49-F238E27FC236}">
                  <a16:creationId xmlns:a16="http://schemas.microsoft.com/office/drawing/2014/main" id="{3E1B0660-07E3-4675-8B11-8D7F8D2F1471}"/>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xdr:col>
      <xdr:colOff>236865</xdr:colOff>
      <xdr:row>20</xdr:row>
      <xdr:rowOff>87772</xdr:rowOff>
    </xdr:from>
    <xdr:to>
      <xdr:col>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1" name="Ink 30">
              <a:extLst>
                <a:ext uri="{FF2B5EF4-FFF2-40B4-BE49-F238E27FC236}">
                  <a16:creationId xmlns:a16="http://schemas.microsoft.com/office/drawing/2014/main" id="{C9714641-6A9F-4628-B77B-28AA2106A68A}"/>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5</xdr:col>
      <xdr:colOff>694605</xdr:colOff>
      <xdr:row>14</xdr:row>
      <xdr:rowOff>121882</xdr:rowOff>
    </xdr:from>
    <xdr:to>
      <xdr:col>5</xdr:col>
      <xdr:colOff>694785</xdr:colOff>
      <xdr:row>14</xdr:row>
      <xdr:rowOff>122062</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2" name="Ink 31">
              <a:extLst>
                <a:ext uri="{FF2B5EF4-FFF2-40B4-BE49-F238E27FC236}">
                  <a16:creationId xmlns:a16="http://schemas.microsoft.com/office/drawing/2014/main" id="{FACEBAB7-FFC2-4E54-8C22-FBE8EDFCC35D}"/>
                </a:ext>
              </a:extLst>
            </xdr14:cNvPr>
            <xdr14:cNvContentPartPr/>
          </xdr14:nvContentPartPr>
          <xdr14:nvPr macro=""/>
          <xdr14:xfrm>
            <a:off x="9257580" y="1907820"/>
            <a:ext cx="180" cy="180"/>
          </xdr14:xfrm>
        </xdr:contentPart>
      </mc:Choice>
      <mc:Fallback xmlns="">
        <xdr:pic>
          <xdr:nvPicPr>
            <xdr:cNvPr id="32" name="Ink 31">
              <a:extLst>
                <a:ext uri="{FF2B5EF4-FFF2-40B4-BE49-F238E27FC236}">
                  <a16:creationId xmlns:a16="http://schemas.microsoft.com/office/drawing/2014/main" id="{FACEBAB7-FFC2-4E54-8C22-FBE8EDFCC35D}"/>
                </a:ext>
              </a:extLst>
            </xdr:cNvPr>
            <xdr:cNvPicPr/>
          </xdr:nvPicPr>
          <xdr:blipFill/>
          <xdr:spPr/>
        </xdr:pic>
      </mc:Fallback>
    </mc:AlternateContent>
    <xdr:clientData/>
  </xdr:twoCellAnchor>
  <xdr:twoCellAnchor>
    <xdr:from>
      <xdr:col>1</xdr:col>
      <xdr:colOff>274845</xdr:colOff>
      <xdr:row>20</xdr:row>
      <xdr:rowOff>103072</xdr:rowOff>
    </xdr:from>
    <xdr:to>
      <xdr:col>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5" name="Ink 34">
              <a:extLst>
                <a:ext uri="{FF2B5EF4-FFF2-40B4-BE49-F238E27FC236}">
                  <a16:creationId xmlns:a16="http://schemas.microsoft.com/office/drawing/2014/main" id="{6D4B7176-E27F-4FDC-92B9-4A98C7FB9FF1}"/>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2" name="Ink 41">
              <a:extLst>
                <a:ext uri="{FF2B5EF4-FFF2-40B4-BE49-F238E27FC236}">
                  <a16:creationId xmlns:a16="http://schemas.microsoft.com/office/drawing/2014/main" id="{5E8D60E3-0CD5-4F53-894D-55AECB7A5B30}"/>
                </a:ext>
              </a:extLst>
            </xdr14:cNvPr>
            <xdr14:cNvContentPartPr/>
          </xdr14:nvContentPartPr>
          <xdr14:nvPr macro=""/>
          <xdr14:xfrm>
            <a:off x="0" y="0"/>
            <a:ext cx="0" cy="0"/>
          </xdr14:xfrm>
        </xdr:contentPart>
      </mc:Choice>
      <mc:Fallback xmlns="">
        <xdr:pic>
          <xdr:nvPicPr>
            <xdr:cNvPr id="42" name="Ink 41">
              <a:extLst>
                <a:ext uri="{FF2B5EF4-FFF2-40B4-BE49-F238E27FC236}">
                  <a16:creationId xmlns:a16="http://schemas.microsoft.com/office/drawing/2014/main" id="{5E8D60E3-0CD5-4F53-894D-55AECB7A5B30}"/>
                </a:ext>
              </a:extLst>
            </xdr:cNvPr>
            <xdr:cNvPicPr/>
          </xdr:nvPicPr>
          <xdr:blipFill/>
          <xdr:spPr/>
        </xdr:pic>
      </mc:Fallback>
    </mc:AlternateContent>
    <xdr:clientData/>
  </xdr:twoCellAnchor>
  <xdr:twoCellAnchor>
    <xdr:from>
      <xdr:col>1</xdr:col>
      <xdr:colOff>0</xdr:colOff>
      <xdr:row>29</xdr:row>
      <xdr:rowOff>0</xdr:rowOff>
    </xdr:from>
    <xdr:to>
      <xdr:col>1</xdr:col>
      <xdr:colOff>0</xdr:colOff>
      <xdr:row>29</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3" name="Ink 42">
              <a:extLst>
                <a:ext uri="{FF2B5EF4-FFF2-40B4-BE49-F238E27FC236}">
                  <a16:creationId xmlns:a16="http://schemas.microsoft.com/office/drawing/2014/main" id="{203D1E37-CC0F-4C10-B5BF-C678F23C8AF4}"/>
                </a:ext>
              </a:extLst>
            </xdr14:cNvPr>
            <xdr14:cNvContentPartPr/>
          </xdr14:nvContentPartPr>
          <xdr14:nvPr macro=""/>
          <xdr14:xfrm>
            <a:off x="0" y="0"/>
            <a:ext cx="0" cy="0"/>
          </xdr14:xfrm>
        </xdr:contentPart>
      </mc:Choice>
      <mc:Fallback xmlns="">
        <xdr:pic>
          <xdr:nvPicPr>
            <xdr:cNvPr id="43" name="Ink 42">
              <a:extLst>
                <a:ext uri="{FF2B5EF4-FFF2-40B4-BE49-F238E27FC236}">
                  <a16:creationId xmlns:a16="http://schemas.microsoft.com/office/drawing/2014/main" id="{203D1E37-CC0F-4C10-B5BF-C678F23C8AF4}"/>
                </a:ext>
              </a:extLst>
            </xdr:cNvPr>
            <xdr:cNvPicPr/>
          </xdr:nvPicPr>
          <xdr:blipFill/>
          <xdr:spPr/>
        </xdr:pic>
      </mc:Fallback>
    </mc:AlternateContent>
    <xdr:clientData/>
  </xdr:twoCellAnchor>
  <xdr:twoCellAnchor>
    <xdr:from>
      <xdr:col>4</xdr:col>
      <xdr:colOff>164775</xdr:colOff>
      <xdr:row>7</xdr:row>
      <xdr:rowOff>51157</xdr:rowOff>
    </xdr:from>
    <xdr:to>
      <xdr:col>4</xdr:col>
      <xdr:colOff>164955</xdr:colOff>
      <xdr:row>7</xdr:row>
      <xdr:rowOff>51337</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2324F511-6804-4FF3-873B-4D31D1784F9D}"/>
                </a:ext>
              </a:extLst>
            </xdr14:cNvPr>
            <xdr14:cNvContentPartPr/>
          </xdr14:nvContentPartPr>
          <xdr14:nvPr macro=""/>
          <xdr14:xfrm>
            <a:off x="7870500" y="703620"/>
            <a:ext cx="180" cy="180"/>
          </xdr14:xfrm>
        </xdr:contentPart>
      </mc:Choice>
      <mc:Fallback xmlns="">
        <xdr:pic>
          <xdr:nvPicPr>
            <xdr:cNvPr id="44" name="Ink 43">
              <a:extLst>
                <a:ext uri="{FF2B5EF4-FFF2-40B4-BE49-F238E27FC236}">
                  <a16:creationId xmlns:a16="http://schemas.microsoft.com/office/drawing/2014/main" id="{2324F511-6804-4FF3-873B-4D31D1784F9D}"/>
                </a:ext>
              </a:extLst>
            </xdr:cNvPr>
            <xdr:cNvPicPr/>
          </xdr:nvPicPr>
          <xdr:blipFill/>
          <xdr:spPr/>
        </xdr:pic>
      </mc:Fallback>
    </mc:AlternateContent>
    <xdr:clientData/>
  </xdr:twoCellAnchor>
  <xdr:twoCellAnchor>
    <xdr:from>
      <xdr:col>1</xdr:col>
      <xdr:colOff>427305</xdr:colOff>
      <xdr:row>20</xdr:row>
      <xdr:rowOff>110812</xdr:rowOff>
    </xdr:from>
    <xdr:to>
      <xdr:col>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08DD70B3-11F7-4ADC-BAF6-386A9271140C}"/>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4</xdr:col>
      <xdr:colOff>256215</xdr:colOff>
      <xdr:row>16</xdr:row>
      <xdr:rowOff>34372</xdr:rowOff>
    </xdr:from>
    <xdr:to>
      <xdr:col>4</xdr:col>
      <xdr:colOff>256395</xdr:colOff>
      <xdr:row>16</xdr:row>
      <xdr:rowOff>34552</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8" name="Ink 47">
              <a:extLst>
                <a:ext uri="{FF2B5EF4-FFF2-40B4-BE49-F238E27FC236}">
                  <a16:creationId xmlns:a16="http://schemas.microsoft.com/office/drawing/2014/main" id="{3A2410B8-DA2B-41EF-8182-7BCA1C735403}"/>
                </a:ext>
              </a:extLst>
            </xdr14:cNvPr>
            <xdr14:cNvContentPartPr/>
          </xdr14:nvContentPartPr>
          <xdr14:nvPr macro=""/>
          <xdr14:xfrm>
            <a:off x="7961940" y="2144160"/>
            <a:ext cx="180" cy="180"/>
          </xdr14:xfrm>
        </xdr:contentPart>
      </mc:Choice>
      <mc:Fallback xmlns="">
        <xdr:pic>
          <xdr:nvPicPr>
            <xdr:cNvPr id="48" name="Ink 47">
              <a:extLst>
                <a:ext uri="{FF2B5EF4-FFF2-40B4-BE49-F238E27FC236}">
                  <a16:creationId xmlns:a16="http://schemas.microsoft.com/office/drawing/2014/main" id="{3A2410B8-DA2B-41EF-8182-7BCA1C735403}"/>
                </a:ext>
              </a:extLst>
            </xdr:cNvPr>
            <xdr:cNvPicPr/>
          </xdr:nvPicPr>
          <xdr:blipFill/>
          <xdr:spPr/>
        </xdr:pic>
      </mc:Fallback>
    </mc:AlternateContent>
    <xdr:clientData/>
  </xdr:twoCellAnchor>
  <xdr:twoCellAnchor>
    <xdr:from>
      <xdr:col>4</xdr:col>
      <xdr:colOff>20055</xdr:colOff>
      <xdr:row>74</xdr:row>
      <xdr:rowOff>2287</xdr:rowOff>
    </xdr:from>
    <xdr:to>
      <xdr:col>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52" name="Ink 51">
              <a:extLst>
                <a:ext uri="{FF2B5EF4-FFF2-40B4-BE49-F238E27FC236}">
                  <a16:creationId xmlns:a16="http://schemas.microsoft.com/office/drawing/2014/main" id="{67484F94-6296-4EB9-BC20-73137587B9B8}"/>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xdr:col>
      <xdr:colOff>133762</xdr:colOff>
      <xdr:row>473</xdr:row>
      <xdr:rowOff>55087</xdr:rowOff>
    </xdr:from>
    <xdr:to>
      <xdr:col>1</xdr:col>
      <xdr:colOff>133942</xdr:colOff>
      <xdr:row>473</xdr:row>
      <xdr:rowOff>55267</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55" name="Ink 54">
              <a:extLst>
                <a:ext uri="{FF2B5EF4-FFF2-40B4-BE49-F238E27FC236}">
                  <a16:creationId xmlns:a16="http://schemas.microsoft.com/office/drawing/2014/main" id="{B2D3E793-A5CC-4FC5-BF27-7353E5D4BAE9}"/>
                </a:ext>
              </a:extLst>
            </xdr14:cNvPr>
            <xdr14:cNvContentPartPr/>
          </xdr14:nvContentPartPr>
          <xdr14:nvPr macro=""/>
          <xdr14:xfrm>
            <a:off x="11635200" y="1031400"/>
            <a:ext cx="180" cy="180"/>
          </xdr14:xfrm>
        </xdr:contentPart>
      </mc:Choice>
      <mc:Fallback xmlns="">
        <xdr:pic>
          <xdr:nvPicPr>
            <xdr:cNvPr id="55" name="Ink 54">
              <a:extLst>
                <a:ext uri="{FF2B5EF4-FFF2-40B4-BE49-F238E27FC236}">
                  <a16:creationId xmlns:a16="http://schemas.microsoft.com/office/drawing/2014/main" id="{B2D3E793-A5CC-4FC5-BF27-7353E5D4BAE9}"/>
                </a:ext>
              </a:extLst>
            </xdr:cNvPr>
            <xdr:cNvPicPr/>
          </xdr:nvPicPr>
          <xdr:blipFill/>
          <xdr:spPr/>
        </xdr:pic>
      </mc:Fallback>
    </mc:AlternateContent>
    <xdr:clientData/>
  </xdr:twoCellAnchor>
  <xdr:oneCellAnchor>
    <xdr:from>
      <xdr:col>27</xdr:col>
      <xdr:colOff>35255</xdr:colOff>
      <xdr:row>37</xdr:row>
      <xdr:rowOff>138546</xdr:rowOff>
    </xdr:from>
    <xdr:ext cx="1069069" cy="264560"/>
    <xdr:sp macro="" textlink="">
      <xdr:nvSpPr>
        <xdr:cNvPr id="58" name="TextBox 57">
          <a:extLst>
            <a:ext uri="{FF2B5EF4-FFF2-40B4-BE49-F238E27FC236}">
              <a16:creationId xmlns:a16="http://schemas.microsoft.com/office/drawing/2014/main" id="{F9D5545D-8B93-41D3-AF40-B405D8F0581C}"/>
            </a:ext>
          </a:extLst>
        </xdr:cNvPr>
        <xdr:cNvSpPr txBox="1"/>
      </xdr:nvSpPr>
      <xdr:spPr>
        <a:xfrm>
          <a:off x="16654525" y="20215267"/>
          <a:ext cx="10690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100" b="1"/>
            <a:t>Briscoe Group</a:t>
          </a:r>
        </a:p>
      </xdr:txBody>
    </xdr:sp>
    <xdr:clientData/>
  </xdr:oneCellAnchor>
  <xdr:twoCellAnchor>
    <xdr:from>
      <xdr:col>2</xdr:col>
      <xdr:colOff>503805</xdr:colOff>
      <xdr:row>38</xdr:row>
      <xdr:rowOff>72315</xdr:rowOff>
    </xdr:from>
    <xdr:to>
      <xdr:col>2</xdr:col>
      <xdr:colOff>503985</xdr:colOff>
      <xdr:row>38</xdr:row>
      <xdr:rowOff>72495</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61" name="Ink 60">
              <a:extLst>
                <a:ext uri="{FF2B5EF4-FFF2-40B4-BE49-F238E27FC236}">
                  <a16:creationId xmlns:a16="http://schemas.microsoft.com/office/drawing/2014/main" id="{83F42F62-215A-4B2D-92D9-A129C4D2C1C4}"/>
                </a:ext>
              </a:extLst>
            </xdr14:cNvPr>
            <xdr14:cNvContentPartPr/>
          </xdr14:nvContentPartPr>
          <xdr14:nvPr macro=""/>
          <xdr14:xfrm>
            <a:off x="7237980" y="12959640"/>
            <a:ext cx="180" cy="180"/>
          </xdr14:xfrm>
        </xdr:contentPart>
      </mc:Choice>
      <mc:Fallback xmlns="">
        <xdr:pic>
          <xdr:nvPicPr>
            <xdr:cNvPr id="61" name="Ink 60">
              <a:extLst>
                <a:ext uri="{FF2B5EF4-FFF2-40B4-BE49-F238E27FC236}">
                  <a16:creationId xmlns:a16="http://schemas.microsoft.com/office/drawing/2014/main" id="{83F42F62-215A-4B2D-92D9-A129C4D2C1C4}"/>
                </a:ext>
              </a:extLst>
            </xdr:cNvPr>
            <xdr:cNvPicPr/>
          </xdr:nvPicPr>
          <xdr:blipFill/>
          <xdr:spPr/>
        </xdr:pic>
      </mc:Fallback>
    </mc:AlternateContent>
    <xdr:clientData/>
  </xdr:twoCellAnchor>
  <xdr:twoCellAnchor>
    <xdr:from>
      <xdr:col>4</xdr:col>
      <xdr:colOff>735442</xdr:colOff>
      <xdr:row>44</xdr:row>
      <xdr:rowOff>129645</xdr:rowOff>
    </xdr:from>
    <xdr:to>
      <xdr:col>4</xdr:col>
      <xdr:colOff>735622</xdr:colOff>
      <xdr:row>44</xdr:row>
      <xdr:rowOff>129825</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70" name="Ink 69">
              <a:extLst>
                <a:ext uri="{FF2B5EF4-FFF2-40B4-BE49-F238E27FC236}">
                  <a16:creationId xmlns:a16="http://schemas.microsoft.com/office/drawing/2014/main" id="{076F2C9D-D932-4371-A924-E5559BF7DEA1}"/>
                </a:ext>
              </a:extLst>
            </xdr14:cNvPr>
            <xdr14:cNvContentPartPr/>
          </xdr14:nvContentPartPr>
          <xdr14:nvPr macro=""/>
          <xdr14:xfrm>
            <a:off x="9112680" y="13988520"/>
            <a:ext cx="180" cy="180"/>
          </xdr14:xfrm>
        </xdr:contentPart>
      </mc:Choice>
      <mc:Fallback xmlns="">
        <xdr:pic>
          <xdr:nvPicPr>
            <xdr:cNvPr id="70" name="Ink 69">
              <a:extLst>
                <a:ext uri="{FF2B5EF4-FFF2-40B4-BE49-F238E27FC236}">
                  <a16:creationId xmlns:a16="http://schemas.microsoft.com/office/drawing/2014/main" id="{076F2C9D-D932-4371-A924-E5559BF7DEA1}"/>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71" name="Ink 70">
              <a:extLst>
                <a:ext uri="{FF2B5EF4-FFF2-40B4-BE49-F238E27FC236}">
                  <a16:creationId xmlns:a16="http://schemas.microsoft.com/office/drawing/2014/main" id="{BE947297-2ABF-4E66-A8FC-0ACD7986505C}"/>
                </a:ext>
              </a:extLst>
            </xdr14:cNvPr>
            <xdr14:cNvContentPartPr/>
          </xdr14:nvContentPartPr>
          <xdr14:nvPr macro=""/>
          <xdr14:xfrm>
            <a:off x="4989780" y="14598360"/>
            <a:ext cx="180" cy="180"/>
          </xdr14:xfrm>
        </xdr:contentPart>
      </mc:Choice>
      <mc:Fallback xmlns="">
        <xdr:pic>
          <xdr:nvPicPr>
            <xdr:cNvPr id="71" name="Ink 70">
              <a:extLst>
                <a:ext uri="{FF2B5EF4-FFF2-40B4-BE49-F238E27FC236}">
                  <a16:creationId xmlns:a16="http://schemas.microsoft.com/office/drawing/2014/main" id="{BE947297-2ABF-4E66-A8FC-0ACD7986505C}"/>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72" name="Ink 71">
              <a:extLst>
                <a:ext uri="{FF2B5EF4-FFF2-40B4-BE49-F238E27FC236}">
                  <a16:creationId xmlns:a16="http://schemas.microsoft.com/office/drawing/2014/main" id="{A489FA92-B1F1-4011-9302-6A8D9E593736}"/>
                </a:ext>
              </a:extLst>
            </xdr14:cNvPr>
            <xdr14:cNvContentPartPr/>
          </xdr14:nvContentPartPr>
          <xdr14:nvPr macro=""/>
          <xdr14:xfrm>
            <a:off x="4989780" y="14598360"/>
            <a:ext cx="180" cy="180"/>
          </xdr14:xfrm>
        </xdr:contentPart>
      </mc:Choice>
      <mc:Fallback xmlns="">
        <xdr:pic>
          <xdr:nvPicPr>
            <xdr:cNvPr id="72" name="Ink 71">
              <a:extLst>
                <a:ext uri="{FF2B5EF4-FFF2-40B4-BE49-F238E27FC236}">
                  <a16:creationId xmlns:a16="http://schemas.microsoft.com/office/drawing/2014/main" id="{A489FA92-B1F1-4011-9302-6A8D9E593736}"/>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73" name="Ink 72">
              <a:extLst>
                <a:ext uri="{FF2B5EF4-FFF2-40B4-BE49-F238E27FC236}">
                  <a16:creationId xmlns:a16="http://schemas.microsoft.com/office/drawing/2014/main" id="{20B2336C-D730-4392-8182-55C1D5A7E69F}"/>
                </a:ext>
              </a:extLst>
            </xdr14:cNvPr>
            <xdr14:cNvContentPartPr/>
          </xdr14:nvContentPartPr>
          <xdr14:nvPr macro=""/>
          <xdr14:xfrm>
            <a:off x="4989780" y="14598360"/>
            <a:ext cx="180" cy="180"/>
          </xdr14:xfrm>
        </xdr:contentPart>
      </mc:Choice>
      <mc:Fallback xmlns="">
        <xdr:pic>
          <xdr:nvPicPr>
            <xdr:cNvPr id="73" name="Ink 72">
              <a:extLst>
                <a:ext uri="{FF2B5EF4-FFF2-40B4-BE49-F238E27FC236}">
                  <a16:creationId xmlns:a16="http://schemas.microsoft.com/office/drawing/2014/main" id="{20B2336C-D730-4392-8182-55C1D5A7E69F}"/>
                </a:ext>
              </a:extLst>
            </xdr:cNvPr>
            <xdr:cNvPicPr/>
          </xdr:nvPicPr>
          <xdr:blipFill/>
          <xdr:spPr/>
        </xdr:pic>
      </mc:Fallback>
    </mc:AlternateContent>
    <xdr:clientData/>
  </xdr:twoCellAnchor>
  <xdr:twoCellAnchor>
    <xdr:from>
      <xdr:col>7</xdr:col>
      <xdr:colOff>613042</xdr:colOff>
      <xdr:row>47</xdr:row>
      <xdr:rowOff>91785</xdr:rowOff>
    </xdr:from>
    <xdr:to>
      <xdr:col>7</xdr:col>
      <xdr:colOff>613222</xdr:colOff>
      <xdr:row>47</xdr:row>
      <xdr:rowOff>91965</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74" name="Ink 73">
              <a:extLst>
                <a:ext uri="{FF2B5EF4-FFF2-40B4-BE49-F238E27FC236}">
                  <a16:creationId xmlns:a16="http://schemas.microsoft.com/office/drawing/2014/main" id="{35A48526-06AB-4F54-8387-40300BDD42E9}"/>
                </a:ext>
              </a:extLst>
            </xdr14:cNvPr>
            <xdr14:cNvContentPartPr/>
          </xdr14:nvContentPartPr>
          <xdr14:nvPr macro=""/>
          <xdr14:xfrm>
            <a:off x="4989780" y="14598360"/>
            <a:ext cx="180" cy="180"/>
          </xdr14:xfrm>
        </xdr:contentPart>
      </mc:Choice>
      <mc:Fallback xmlns="">
        <xdr:pic>
          <xdr:nvPicPr>
            <xdr:cNvPr id="74" name="Ink 73">
              <a:extLst>
                <a:ext uri="{FF2B5EF4-FFF2-40B4-BE49-F238E27FC236}">
                  <a16:creationId xmlns:a16="http://schemas.microsoft.com/office/drawing/2014/main" id="{35A48526-06AB-4F54-8387-40300BDD42E9}"/>
                </a:ext>
              </a:extLst>
            </xdr:cNvPr>
            <xdr:cNvPicPr/>
          </xdr:nvPicPr>
          <xdr:blipFill/>
          <xdr:spPr/>
        </xdr:pic>
      </mc:Fallback>
    </mc:AlternateContent>
    <xdr:clientData/>
  </xdr:twoCellAnchor>
  <xdr:twoCellAnchor>
    <xdr:from>
      <xdr:col>6</xdr:col>
      <xdr:colOff>644475</xdr:colOff>
      <xdr:row>37</xdr:row>
      <xdr:rowOff>26595</xdr:rowOff>
    </xdr:from>
    <xdr:to>
      <xdr:col>6</xdr:col>
      <xdr:colOff>644655</xdr:colOff>
      <xdr:row>37</xdr:row>
      <xdr:rowOff>26775</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5" name="Ink 74">
              <a:extLst>
                <a:ext uri="{FF2B5EF4-FFF2-40B4-BE49-F238E27FC236}">
                  <a16:creationId xmlns:a16="http://schemas.microsoft.com/office/drawing/2014/main" id="{6707BB74-EE45-49F5-8E38-705B456782E0}"/>
                </a:ext>
              </a:extLst>
            </xdr14:cNvPr>
            <xdr14:cNvContentPartPr/>
          </xdr14:nvContentPartPr>
          <xdr14:nvPr macro=""/>
          <xdr14:xfrm>
            <a:off x="4235400" y="12913920"/>
            <a:ext cx="180" cy="180"/>
          </xdr14:xfrm>
        </xdr:contentPart>
      </mc:Choice>
      <mc:Fallback xmlns="">
        <xdr:pic>
          <xdr:nvPicPr>
            <xdr:cNvPr id="75" name="Ink 74">
              <a:extLst>
                <a:ext uri="{FF2B5EF4-FFF2-40B4-BE49-F238E27FC236}">
                  <a16:creationId xmlns:a16="http://schemas.microsoft.com/office/drawing/2014/main" id="{6707BB74-EE45-49F5-8E38-705B456782E0}"/>
                </a:ext>
              </a:extLst>
            </xdr:cNvPr>
            <xdr:cNvPicPr/>
          </xdr:nvPicPr>
          <xdr:blipFill/>
          <xdr:spPr/>
        </xdr:pic>
      </mc:Fallback>
    </mc:AlternateContent>
    <xdr:clientData/>
  </xdr:twoCellAnchor>
  <xdr:twoCellAnchor>
    <xdr:from>
      <xdr:col>4</xdr:col>
      <xdr:colOff>160072</xdr:colOff>
      <xdr:row>129</xdr:row>
      <xdr:rowOff>9322</xdr:rowOff>
    </xdr:from>
    <xdr:to>
      <xdr:col>4</xdr:col>
      <xdr:colOff>160252</xdr:colOff>
      <xdr:row>129</xdr:row>
      <xdr:rowOff>9502</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91" name="Ink 90">
              <a:extLst>
                <a:ext uri="{FF2B5EF4-FFF2-40B4-BE49-F238E27FC236}">
                  <a16:creationId xmlns:a16="http://schemas.microsoft.com/office/drawing/2014/main" id="{177FFC98-A51C-4069-808C-45A7FD9AF149}"/>
                </a:ext>
              </a:extLst>
            </xdr14:cNvPr>
            <xdr14:cNvContentPartPr/>
          </xdr14:nvContentPartPr>
          <xdr14:nvPr macro=""/>
          <xdr14:xfrm>
            <a:off x="7680060" y="16158960"/>
            <a:ext cx="180" cy="180"/>
          </xdr14:xfrm>
        </xdr:contentPart>
      </mc:Choice>
      <mc:Fallback xmlns="">
        <xdr:pic>
          <xdr:nvPicPr>
            <xdr:cNvPr id="91" name="Ink 90">
              <a:extLst>
                <a:ext uri="{FF2B5EF4-FFF2-40B4-BE49-F238E27FC236}">
                  <a16:creationId xmlns:a16="http://schemas.microsoft.com/office/drawing/2014/main" id="{177FFC98-A51C-4069-808C-45A7FD9AF149}"/>
                </a:ext>
              </a:extLst>
            </xdr:cNvPr>
            <xdr:cNvPicPr/>
          </xdr:nvPicPr>
          <xdr:blipFill/>
          <xdr:spPr/>
        </xdr:pic>
      </mc:Fallback>
    </mc:AlternateContent>
    <xdr:clientData/>
  </xdr:twoCellAnchor>
  <xdr:twoCellAnchor>
    <xdr:from>
      <xdr:col>6</xdr:col>
      <xdr:colOff>224130</xdr:colOff>
      <xdr:row>129</xdr:row>
      <xdr:rowOff>57067</xdr:rowOff>
    </xdr:from>
    <xdr:to>
      <xdr:col>6</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94" name="Ink 93">
              <a:extLst>
                <a:ext uri="{FF2B5EF4-FFF2-40B4-BE49-F238E27FC236}">
                  <a16:creationId xmlns:a16="http://schemas.microsoft.com/office/drawing/2014/main" id="{60D8912B-C76E-4EC0-9F59-2245976CDCEF}"/>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4</xdr:col>
      <xdr:colOff>60892</xdr:colOff>
      <xdr:row>130</xdr:row>
      <xdr:rowOff>144757</xdr:rowOff>
    </xdr:from>
    <xdr:to>
      <xdr:col>4</xdr:col>
      <xdr:colOff>61072</xdr:colOff>
      <xdr:row>130</xdr:row>
      <xdr:rowOff>144937</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99" name="Ink 98">
              <a:extLst>
                <a:ext uri="{FF2B5EF4-FFF2-40B4-BE49-F238E27FC236}">
                  <a16:creationId xmlns:a16="http://schemas.microsoft.com/office/drawing/2014/main" id="{639D4795-61AF-4128-BAE4-14F0C2468D3C}"/>
                </a:ext>
              </a:extLst>
            </xdr14:cNvPr>
            <xdr14:cNvContentPartPr/>
          </xdr14:nvContentPartPr>
          <xdr14:nvPr macro=""/>
          <xdr14:xfrm>
            <a:off x="7580880" y="16456320"/>
            <a:ext cx="180" cy="180"/>
          </xdr14:xfrm>
        </xdr:contentPart>
      </mc:Choice>
      <mc:Fallback xmlns="">
        <xdr:pic>
          <xdr:nvPicPr>
            <xdr:cNvPr id="99" name="Ink 98">
              <a:extLst>
                <a:ext uri="{FF2B5EF4-FFF2-40B4-BE49-F238E27FC236}">
                  <a16:creationId xmlns:a16="http://schemas.microsoft.com/office/drawing/2014/main" id="{639D4795-61AF-4128-BAE4-14F0C2468D3C}"/>
                </a:ext>
              </a:extLst>
            </xdr:cNvPr>
            <xdr:cNvPicPr/>
          </xdr:nvPicPr>
          <xdr:blipFill/>
          <xdr:spPr/>
        </xdr:pic>
      </mc:Fallback>
    </mc:AlternateContent>
    <xdr:clientData/>
  </xdr:twoCellAnchor>
  <xdr:twoCellAnchor>
    <xdr:from>
      <xdr:col>4</xdr:col>
      <xdr:colOff>579112</xdr:colOff>
      <xdr:row>129</xdr:row>
      <xdr:rowOff>138742</xdr:rowOff>
    </xdr:from>
    <xdr:to>
      <xdr:col>4</xdr:col>
      <xdr:colOff>579292</xdr:colOff>
      <xdr:row>129</xdr:row>
      <xdr:rowOff>138922</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06" name="Ink 105">
              <a:extLst>
                <a:ext uri="{FF2B5EF4-FFF2-40B4-BE49-F238E27FC236}">
                  <a16:creationId xmlns:a16="http://schemas.microsoft.com/office/drawing/2014/main" id="{50397E41-760B-4C8C-9462-38108FE3E789}"/>
                </a:ext>
              </a:extLst>
            </xdr14:cNvPr>
            <xdr14:cNvContentPartPr/>
          </xdr14:nvContentPartPr>
          <xdr14:nvPr macro=""/>
          <xdr14:xfrm>
            <a:off x="8099100" y="16288380"/>
            <a:ext cx="180" cy="180"/>
          </xdr14:xfrm>
        </xdr:contentPart>
      </mc:Choice>
      <mc:Fallback xmlns="">
        <xdr:pic>
          <xdr:nvPicPr>
            <xdr:cNvPr id="106" name="Ink 105">
              <a:extLst>
                <a:ext uri="{FF2B5EF4-FFF2-40B4-BE49-F238E27FC236}">
                  <a16:creationId xmlns:a16="http://schemas.microsoft.com/office/drawing/2014/main" id="{50397E41-760B-4C8C-9462-38108FE3E789}"/>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108" name="Ink 107">
              <a:extLst>
                <a:ext uri="{FF2B5EF4-FFF2-40B4-BE49-F238E27FC236}">
                  <a16:creationId xmlns:a16="http://schemas.microsoft.com/office/drawing/2014/main" id="{38726183-67FE-4713-BF8A-40009E35FAF0}"/>
                </a:ext>
              </a:extLst>
            </xdr14:cNvPr>
            <xdr14:cNvContentPartPr/>
          </xdr14:nvContentPartPr>
          <xdr14:nvPr macro=""/>
          <xdr14:xfrm>
            <a:off x="7840080" y="17004780"/>
            <a:ext cx="180" cy="180"/>
          </xdr14:xfrm>
        </xdr:contentPart>
      </mc:Choice>
      <mc:Fallback xmlns="">
        <xdr:pic>
          <xdr:nvPicPr>
            <xdr:cNvPr id="108" name="Ink 107">
              <a:extLst>
                <a:ext uri="{FF2B5EF4-FFF2-40B4-BE49-F238E27FC236}">
                  <a16:creationId xmlns:a16="http://schemas.microsoft.com/office/drawing/2014/main" id="{38726183-67FE-4713-BF8A-40009E35FAF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110" name="Ink 109">
              <a:extLst>
                <a:ext uri="{FF2B5EF4-FFF2-40B4-BE49-F238E27FC236}">
                  <a16:creationId xmlns:a16="http://schemas.microsoft.com/office/drawing/2014/main" id="{C1BEAE6C-0088-43E1-A317-2D9616FDC1A0}"/>
                </a:ext>
              </a:extLst>
            </xdr14:cNvPr>
            <xdr14:cNvContentPartPr/>
          </xdr14:nvContentPartPr>
          <xdr14:nvPr macro=""/>
          <xdr14:xfrm>
            <a:off x="7840080" y="17004780"/>
            <a:ext cx="180" cy="180"/>
          </xdr14:xfrm>
        </xdr:contentPart>
      </mc:Choice>
      <mc:Fallback xmlns="">
        <xdr:pic>
          <xdr:nvPicPr>
            <xdr:cNvPr id="110" name="Ink 109">
              <a:extLst>
                <a:ext uri="{FF2B5EF4-FFF2-40B4-BE49-F238E27FC236}">
                  <a16:creationId xmlns:a16="http://schemas.microsoft.com/office/drawing/2014/main" id="{C1BEAE6C-0088-43E1-A317-2D9616FDC1A0}"/>
                </a:ext>
              </a:extLst>
            </xdr:cNvPr>
            <xdr:cNvPicPr/>
          </xdr:nvPicPr>
          <xdr:blipFill/>
          <xdr:spPr/>
        </xdr:pic>
      </mc:Fallback>
    </mc:AlternateContent>
    <xdr:clientData/>
  </xdr:twoCellAnchor>
  <xdr:twoCellAnchor>
    <xdr:from>
      <xdr:col>4</xdr:col>
      <xdr:colOff>320092</xdr:colOff>
      <xdr:row>131</xdr:row>
      <xdr:rowOff>45517</xdr:rowOff>
    </xdr:from>
    <xdr:to>
      <xdr:col>4</xdr:col>
      <xdr:colOff>320272</xdr:colOff>
      <xdr:row>131</xdr:row>
      <xdr:rowOff>45697</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114" name="Ink 113">
              <a:extLst>
                <a:ext uri="{FF2B5EF4-FFF2-40B4-BE49-F238E27FC236}">
                  <a16:creationId xmlns:a16="http://schemas.microsoft.com/office/drawing/2014/main" id="{39506AF3-D238-49C3-9B17-1161FA40B779}"/>
                </a:ext>
              </a:extLst>
            </xdr14:cNvPr>
            <xdr14:cNvContentPartPr/>
          </xdr14:nvContentPartPr>
          <xdr14:nvPr macro=""/>
          <xdr14:xfrm>
            <a:off x="7840080" y="17004780"/>
            <a:ext cx="180" cy="180"/>
          </xdr14:xfrm>
        </xdr:contentPart>
      </mc:Choice>
      <mc:Fallback xmlns="">
        <xdr:pic>
          <xdr:nvPicPr>
            <xdr:cNvPr id="114" name="Ink 113">
              <a:extLst>
                <a:ext uri="{FF2B5EF4-FFF2-40B4-BE49-F238E27FC236}">
                  <a16:creationId xmlns:a16="http://schemas.microsoft.com/office/drawing/2014/main" id="{39506AF3-D238-49C3-9B17-1161FA40B779}"/>
                </a:ext>
              </a:extLst>
            </xdr:cNvPr>
            <xdr:cNvPicPr/>
          </xdr:nvPicPr>
          <xdr:blipFill/>
          <xdr:spPr/>
        </xdr:pic>
      </mc:Fallback>
    </mc:AlternateContent>
    <xdr:clientData/>
  </xdr:twoCellAnchor>
  <xdr:twoCellAnchor>
    <xdr:from>
      <xdr:col>7</xdr:col>
      <xdr:colOff>727170</xdr:colOff>
      <xdr:row>136</xdr:row>
      <xdr:rowOff>107730</xdr:rowOff>
    </xdr:from>
    <xdr:to>
      <xdr:col>7</xdr:col>
      <xdr:colOff>727350</xdr:colOff>
      <xdr:row>136</xdr:row>
      <xdr:rowOff>107910</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16" name="Ink 115">
              <a:extLst>
                <a:ext uri="{FF2B5EF4-FFF2-40B4-BE49-F238E27FC236}">
                  <a16:creationId xmlns:a16="http://schemas.microsoft.com/office/drawing/2014/main" id="{59B8AA89-79D6-4F5C-955B-815EA1B939E9}"/>
                </a:ext>
              </a:extLst>
            </xdr14:cNvPr>
            <xdr14:cNvContentPartPr/>
          </xdr14:nvContentPartPr>
          <xdr14:nvPr macro=""/>
          <xdr14:xfrm>
            <a:off x="10537920" y="17881380"/>
            <a:ext cx="180" cy="180"/>
          </xdr14:xfrm>
        </xdr:contentPart>
      </mc:Choice>
      <mc:Fallback xmlns="">
        <xdr:pic>
          <xdr:nvPicPr>
            <xdr:cNvPr id="116" name="Ink 115">
              <a:extLst>
                <a:ext uri="{FF2B5EF4-FFF2-40B4-BE49-F238E27FC236}">
                  <a16:creationId xmlns:a16="http://schemas.microsoft.com/office/drawing/2014/main" id="{59B8AA89-79D6-4F5C-955B-815EA1B939E9}"/>
                </a:ext>
              </a:extLst>
            </xdr:cNvPr>
            <xdr:cNvPicPr/>
          </xdr:nvPicPr>
          <xdr:blipFill/>
          <xdr:spPr/>
        </xdr:pic>
      </mc:Fallback>
    </mc:AlternateContent>
    <xdr:clientData/>
  </xdr:twoCellAnchor>
  <xdr:twoCellAnchor>
    <xdr:from>
      <xdr:col>5</xdr:col>
      <xdr:colOff>365812</xdr:colOff>
      <xdr:row>206</xdr:row>
      <xdr:rowOff>44347</xdr:rowOff>
    </xdr:from>
    <xdr:to>
      <xdr:col>5</xdr:col>
      <xdr:colOff>534472</xdr:colOff>
      <xdr:row>208</xdr:row>
      <xdr:rowOff>36937</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26" name="Ink 125">
              <a:extLst>
                <a:ext uri="{FF2B5EF4-FFF2-40B4-BE49-F238E27FC236}">
                  <a16:creationId xmlns:a16="http://schemas.microsoft.com/office/drawing/2014/main" id="{CDF4327A-F829-4543-966F-500D5EAD837F}"/>
                </a:ext>
              </a:extLst>
            </xdr14:cNvPr>
            <xdr14:cNvContentPartPr/>
          </xdr14:nvContentPartPr>
          <xdr14:nvPr macro=""/>
          <xdr14:xfrm>
            <a:off x="7885800" y="25518960"/>
            <a:ext cx="168660" cy="316440"/>
          </xdr14:xfrm>
        </xdr:contentPart>
      </mc:Choice>
      <mc:Fallback xmlns="">
        <xdr:pic>
          <xdr:nvPicPr>
            <xdr:cNvPr id="126" name="Ink 125">
              <a:extLst>
                <a:ext uri="{FF2B5EF4-FFF2-40B4-BE49-F238E27FC236}">
                  <a16:creationId xmlns:a16="http://schemas.microsoft.com/office/drawing/2014/main" id="{CDF4327A-F829-4543-966F-500D5EAD837F}"/>
                </a:ext>
              </a:extLst>
            </xdr:cNvPr>
            <xdr:cNvPicPr/>
          </xdr:nvPicPr>
          <xdr:blipFill>
            <a:blip xmlns:r="http://schemas.openxmlformats.org/officeDocument/2006/relationships" r:embed="rId111"/>
            <a:stretch>
              <a:fillRect/>
            </a:stretch>
          </xdr:blipFill>
          <xdr:spPr>
            <a:xfrm>
              <a:off x="7881013" y="25514137"/>
              <a:ext cx="178235" cy="326085"/>
            </a:xfrm>
            <a:prstGeom prst="rect">
              <a:avLst/>
            </a:prstGeom>
          </xdr:spPr>
        </xdr:pic>
      </mc:Fallback>
    </mc:AlternateContent>
    <xdr:clientData/>
  </xdr:twoCellAnchor>
  <xdr:twoCellAnchor>
    <xdr:from>
      <xdr:col>10</xdr:col>
      <xdr:colOff>409372</xdr:colOff>
      <xdr:row>209</xdr:row>
      <xdr:rowOff>84532</xdr:rowOff>
    </xdr:from>
    <xdr:to>
      <xdr:col>10</xdr:col>
      <xdr:colOff>541132</xdr:colOff>
      <xdr:row>210</xdr:row>
      <xdr:rowOff>160207</xdr:rowOff>
    </xdr:to>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29" name="Ink 128">
              <a:extLst>
                <a:ext uri="{FF2B5EF4-FFF2-40B4-BE49-F238E27FC236}">
                  <a16:creationId xmlns:a16="http://schemas.microsoft.com/office/drawing/2014/main" id="{4395ECBF-EDBD-4041-B53F-46EF99724F51}"/>
                </a:ext>
              </a:extLst>
            </xdr14:cNvPr>
            <xdr14:cNvContentPartPr/>
          </xdr14:nvContentPartPr>
          <xdr14:nvPr macro=""/>
          <xdr14:xfrm>
            <a:off x="7929360" y="26044920"/>
            <a:ext cx="131760" cy="237600"/>
          </xdr14:xfrm>
        </xdr:contentPart>
      </mc:Choice>
      <mc:Fallback xmlns="">
        <xdr:pic>
          <xdr:nvPicPr>
            <xdr:cNvPr id="129" name="Ink 128">
              <a:extLst>
                <a:ext uri="{FF2B5EF4-FFF2-40B4-BE49-F238E27FC236}">
                  <a16:creationId xmlns:a16="http://schemas.microsoft.com/office/drawing/2014/main" id="{4395ECBF-EDBD-4041-B53F-46EF99724F51}"/>
                </a:ext>
              </a:extLst>
            </xdr:cNvPr>
            <xdr:cNvPicPr/>
          </xdr:nvPicPr>
          <xdr:blipFill>
            <a:blip xmlns:r="http://schemas.openxmlformats.org/officeDocument/2006/relationships" r:embed="rId113"/>
            <a:stretch>
              <a:fillRect/>
            </a:stretch>
          </xdr:blipFill>
          <xdr:spPr>
            <a:xfrm>
              <a:off x="7924667" y="26040240"/>
              <a:ext cx="141146" cy="246960"/>
            </a:xfrm>
            <a:prstGeom prst="rect">
              <a:avLst/>
            </a:prstGeom>
          </xdr:spPr>
        </xdr:pic>
      </mc:Fallback>
    </mc:AlternateContent>
    <xdr:clientData/>
  </xdr:twoCellAnchor>
  <xdr:twoCellAnchor>
    <xdr:from>
      <xdr:col>2</xdr:col>
      <xdr:colOff>54165</xdr:colOff>
      <xdr:row>230</xdr:row>
      <xdr:rowOff>83167</xdr:rowOff>
    </xdr:from>
    <xdr:to>
      <xdr:col>2</xdr:col>
      <xdr:colOff>54345</xdr:colOff>
      <xdr:row>230</xdr:row>
      <xdr:rowOff>83347</xdr:rowOff>
    </xdr:to>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34" name="Ink 133">
              <a:extLst>
                <a:ext uri="{FF2B5EF4-FFF2-40B4-BE49-F238E27FC236}">
                  <a16:creationId xmlns:a16="http://schemas.microsoft.com/office/drawing/2014/main" id="{87050E1F-36AD-400E-B048-180B7CA7AAD2}"/>
                </a:ext>
              </a:extLst>
            </xdr14:cNvPr>
            <xdr14:cNvContentPartPr/>
          </xdr14:nvContentPartPr>
          <xdr14:nvPr macro=""/>
          <xdr14:xfrm>
            <a:off x="6788340" y="28491480"/>
            <a:ext cx="180" cy="180"/>
          </xdr14:xfrm>
        </xdr:contentPart>
      </mc:Choice>
      <mc:Fallback xmlns="">
        <xdr:pic>
          <xdr:nvPicPr>
            <xdr:cNvPr id="134" name="Ink 133">
              <a:extLst>
                <a:ext uri="{FF2B5EF4-FFF2-40B4-BE49-F238E27FC236}">
                  <a16:creationId xmlns:a16="http://schemas.microsoft.com/office/drawing/2014/main" id="{87050E1F-36AD-400E-B048-180B7CA7AAD2}"/>
                </a:ext>
              </a:extLst>
            </xdr:cNvPr>
            <xdr:cNvPicPr/>
          </xdr:nvPicPr>
          <xdr:blipFill/>
          <xdr:spPr/>
        </xdr:pic>
      </mc:Fallback>
    </mc:AlternateContent>
    <xdr:clientData/>
  </xdr:twoCellAnchor>
  <xdr:twoCellAnchor>
    <xdr:from>
      <xdr:col>7</xdr:col>
      <xdr:colOff>86910</xdr:colOff>
      <xdr:row>230</xdr:row>
      <xdr:rowOff>107100</xdr:rowOff>
    </xdr:from>
    <xdr:to>
      <xdr:col>7</xdr:col>
      <xdr:colOff>87090</xdr:colOff>
      <xdr:row>230</xdr:row>
      <xdr:rowOff>107280</xdr:rowOff>
    </xdr:to>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35" name="Ink 134">
              <a:extLst>
                <a:ext uri="{FF2B5EF4-FFF2-40B4-BE49-F238E27FC236}">
                  <a16:creationId xmlns:a16="http://schemas.microsoft.com/office/drawing/2014/main" id="{8618AC28-8040-44AE-923A-FE406CDB1F49}"/>
                </a:ext>
              </a:extLst>
            </xdr14:cNvPr>
            <xdr14:cNvContentPartPr/>
          </xdr14:nvContentPartPr>
          <xdr14:nvPr macro=""/>
          <xdr14:xfrm>
            <a:off x="9897660" y="28682100"/>
            <a:ext cx="180" cy="180"/>
          </xdr14:xfrm>
        </xdr:contentPart>
      </mc:Choice>
      <mc:Fallback xmlns="">
        <xdr:pic>
          <xdr:nvPicPr>
            <xdr:cNvPr id="135" name="Ink 134">
              <a:extLst>
                <a:ext uri="{FF2B5EF4-FFF2-40B4-BE49-F238E27FC236}">
                  <a16:creationId xmlns:a16="http://schemas.microsoft.com/office/drawing/2014/main" id="{8618AC28-8040-44AE-923A-FE406CDB1F49}"/>
                </a:ext>
              </a:extLst>
            </xdr:cNvPr>
            <xdr:cNvPicPr/>
          </xdr:nvPicPr>
          <xdr:blipFill/>
          <xdr:spPr/>
        </xdr:pic>
      </mc:Fallback>
    </mc:AlternateContent>
    <xdr:clientData/>
  </xdr:twoCellAnchor>
  <xdr:twoCellAnchor>
    <xdr:from>
      <xdr:col>7</xdr:col>
      <xdr:colOff>422250</xdr:colOff>
      <xdr:row>230</xdr:row>
      <xdr:rowOff>46080</xdr:rowOff>
    </xdr:from>
    <xdr:to>
      <xdr:col>7</xdr:col>
      <xdr:colOff>422430</xdr:colOff>
      <xdr:row>230</xdr:row>
      <xdr:rowOff>46260</xdr:rowOff>
    </xdr:to>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37" name="Ink 136">
              <a:extLst>
                <a:ext uri="{FF2B5EF4-FFF2-40B4-BE49-F238E27FC236}">
                  <a16:creationId xmlns:a16="http://schemas.microsoft.com/office/drawing/2014/main" id="{556293DA-EE36-4147-AF9C-28B4E726D6D9}"/>
                </a:ext>
              </a:extLst>
            </xdr14:cNvPr>
            <xdr14:cNvContentPartPr/>
          </xdr14:nvContentPartPr>
          <xdr14:nvPr macro=""/>
          <xdr14:xfrm>
            <a:off x="10233000" y="28621080"/>
            <a:ext cx="180" cy="180"/>
          </xdr14:xfrm>
        </xdr:contentPart>
      </mc:Choice>
      <mc:Fallback xmlns="">
        <xdr:pic>
          <xdr:nvPicPr>
            <xdr:cNvPr id="137" name="Ink 136">
              <a:extLst>
                <a:ext uri="{FF2B5EF4-FFF2-40B4-BE49-F238E27FC236}">
                  <a16:creationId xmlns:a16="http://schemas.microsoft.com/office/drawing/2014/main" id="{556293DA-EE36-4147-AF9C-28B4E726D6D9}"/>
                </a:ext>
              </a:extLst>
            </xdr:cNvPr>
            <xdr:cNvPicPr/>
          </xdr:nvPicPr>
          <xdr:blipFill/>
          <xdr:spPr/>
        </xdr:pic>
      </mc:Fallback>
    </mc:AlternateContent>
    <xdr:clientData/>
  </xdr:twoCellAnchor>
  <xdr:twoCellAnchor>
    <xdr:from>
      <xdr:col>2</xdr:col>
      <xdr:colOff>703983</xdr:colOff>
      <xdr:row>359</xdr:row>
      <xdr:rowOff>51830</xdr:rowOff>
    </xdr:from>
    <xdr:to>
      <xdr:col>4</xdr:col>
      <xdr:colOff>454478</xdr:colOff>
      <xdr:row>362</xdr:row>
      <xdr:rowOff>156667</xdr:rowOff>
    </xdr:to>
    <xdr:sp macro="" textlink="">
      <xdr:nvSpPr>
        <xdr:cNvPr id="6" name="TextBox 5">
          <a:extLst>
            <a:ext uri="{FF2B5EF4-FFF2-40B4-BE49-F238E27FC236}">
              <a16:creationId xmlns:a16="http://schemas.microsoft.com/office/drawing/2014/main" id="{DBA0741E-A262-4EED-B877-12938FF5D21D}"/>
            </a:ext>
          </a:extLst>
        </xdr:cNvPr>
        <xdr:cNvSpPr txBox="1"/>
      </xdr:nvSpPr>
      <xdr:spPr>
        <a:xfrm>
          <a:off x="1261196" y="51329668"/>
          <a:ext cx="1284020" cy="604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t>10 year annual </a:t>
          </a:r>
          <a:r>
            <a:rPr lang="en-NZ" sz="1100"/>
            <a:t>averages</a:t>
          </a:r>
          <a:r>
            <a:rPr lang="en-NZ" sz="1000"/>
            <a:t>:</a:t>
          </a:r>
        </a:p>
        <a:p>
          <a:r>
            <a:rPr lang="en-NZ" sz="1000"/>
            <a:t>WHS          -8.6% pa</a:t>
          </a:r>
        </a:p>
        <a:p>
          <a:r>
            <a:rPr lang="en-NZ" sz="1000"/>
            <a:t>BGR           +10.2% pa</a:t>
          </a:r>
        </a:p>
        <a:p>
          <a:endParaRPr lang="en-NZ" sz="1100"/>
        </a:p>
      </xdr:txBody>
    </xdr:sp>
    <xdr:clientData/>
  </xdr:twoCellAnchor>
  <xdr:twoCellAnchor>
    <xdr:from>
      <xdr:col>14</xdr:col>
      <xdr:colOff>327000</xdr:colOff>
      <xdr:row>14</xdr:row>
      <xdr:rowOff>32347</xdr:rowOff>
    </xdr:from>
    <xdr:to>
      <xdr:col>14</xdr:col>
      <xdr:colOff>327180</xdr:colOff>
      <xdr:row>14</xdr:row>
      <xdr:rowOff>32527</xdr:rowOff>
    </xdr:to>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3" name="Ink 2">
              <a:extLst>
                <a:ext uri="{FF2B5EF4-FFF2-40B4-BE49-F238E27FC236}">
                  <a16:creationId xmlns:a16="http://schemas.microsoft.com/office/drawing/2014/main" id="{2A3C8170-92A9-4563-80F2-7528F8D9F4C7}"/>
                </a:ext>
              </a:extLst>
            </xdr14:cNvPr>
            <xdr14:cNvContentPartPr/>
          </xdr14:nvContentPartPr>
          <xdr14:nvPr macro=""/>
          <xdr14:xfrm>
            <a:off x="9547200" y="1656360"/>
            <a:ext cx="180" cy="180"/>
          </xdr14:xfrm>
        </xdr:contentPart>
      </mc:Choice>
      <mc:Fallback xmlns="">
        <xdr:pic>
          <xdr:nvPicPr>
            <xdr:cNvPr id="3" name="Ink 2">
              <a:extLst>
                <a:ext uri="{FF2B5EF4-FFF2-40B4-BE49-F238E27FC236}">
                  <a16:creationId xmlns:a16="http://schemas.microsoft.com/office/drawing/2014/main" id="{2A3C8170-92A9-4563-80F2-7528F8D9F4C7}"/>
                </a:ext>
              </a:extLst>
            </xdr:cNvPr>
            <xdr:cNvPicPr/>
          </xdr:nvPicPr>
          <xdr:blipFill/>
          <xdr:spPr/>
        </xdr:pic>
      </mc:Fallback>
    </mc:AlternateContent>
    <xdr:clientData/>
  </xdr:twoCellAnchor>
  <xdr:twoCellAnchor>
    <xdr:from>
      <xdr:col>0</xdr:col>
      <xdr:colOff>776932</xdr:colOff>
      <xdr:row>19</xdr:row>
      <xdr:rowOff>120277</xdr:rowOff>
    </xdr:from>
    <xdr:to>
      <xdr:col>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9" name="Ink 8">
              <a:extLst>
                <a:ext uri="{FF2B5EF4-FFF2-40B4-BE49-F238E27FC236}">
                  <a16:creationId xmlns:a16="http://schemas.microsoft.com/office/drawing/2014/main" id="{D5DB12CA-B042-4FA6-B428-2E4F4A670F03}"/>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3" name="Ink 12">
              <a:extLst>
                <a:ext uri="{FF2B5EF4-FFF2-40B4-BE49-F238E27FC236}">
                  <a16:creationId xmlns:a16="http://schemas.microsoft.com/office/drawing/2014/main" id="{7ACE90E3-A610-4758-A9EC-BA5AA5942B0B}"/>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6" name="Ink 15">
              <a:extLst>
                <a:ext uri="{FF2B5EF4-FFF2-40B4-BE49-F238E27FC236}">
                  <a16:creationId xmlns:a16="http://schemas.microsoft.com/office/drawing/2014/main" id="{433B03B0-DE66-4500-A8B7-4859F84A94DB}"/>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xdr:col>
      <xdr:colOff>761632</xdr:colOff>
      <xdr:row>19</xdr:row>
      <xdr:rowOff>120277</xdr:rowOff>
    </xdr:from>
    <xdr:to>
      <xdr:col>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21" name="Ink 20">
              <a:extLst>
                <a:ext uri="{FF2B5EF4-FFF2-40B4-BE49-F238E27FC236}">
                  <a16:creationId xmlns:a16="http://schemas.microsoft.com/office/drawing/2014/main" id="{0F04A798-0868-48E3-8164-DFAC75680836}"/>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7</xdr:col>
      <xdr:colOff>266100</xdr:colOff>
      <xdr:row>45</xdr:row>
      <xdr:rowOff>150577</xdr:rowOff>
    </xdr:from>
    <xdr:to>
      <xdr:col>7</xdr:col>
      <xdr:colOff>266280</xdr:colOff>
      <xdr:row>45</xdr:row>
      <xdr:rowOff>150757</xdr:rowOff>
    </xdr:to>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27" name="Ink 26">
              <a:extLst>
                <a:ext uri="{FF2B5EF4-FFF2-40B4-BE49-F238E27FC236}">
                  <a16:creationId xmlns:a16="http://schemas.microsoft.com/office/drawing/2014/main" id="{F0F2191A-6F02-4250-A88B-B91A9C098444}"/>
                </a:ext>
              </a:extLst>
            </xdr14:cNvPr>
            <xdr14:cNvContentPartPr/>
          </xdr14:nvContentPartPr>
          <xdr14:nvPr macro=""/>
          <xdr14:xfrm>
            <a:off x="10134000" y="2098440"/>
            <a:ext cx="180" cy="180"/>
          </xdr14:xfrm>
        </xdr:contentPart>
      </mc:Choice>
      <mc:Fallback xmlns="">
        <xdr:pic>
          <xdr:nvPicPr>
            <xdr:cNvPr id="27" name="Ink 26">
              <a:extLst>
                <a:ext uri="{FF2B5EF4-FFF2-40B4-BE49-F238E27FC236}">
                  <a16:creationId xmlns:a16="http://schemas.microsoft.com/office/drawing/2014/main" id="{F0F2191A-6F02-4250-A88B-B91A9C098444}"/>
                </a:ext>
              </a:extLst>
            </xdr:cNvPr>
            <xdr:cNvPicPr/>
          </xdr:nvPicPr>
          <xdr:blipFill/>
          <xdr:spPr/>
        </xdr:pic>
      </mc:Fallback>
    </mc:AlternateContent>
    <xdr:clientData/>
  </xdr:twoCellAnchor>
  <xdr:twoCellAnchor>
    <xdr:from>
      <xdr:col>0</xdr:col>
      <xdr:colOff>681038</xdr:colOff>
      <xdr:row>230</xdr:row>
      <xdr:rowOff>152400</xdr:rowOff>
    </xdr:from>
    <xdr:to>
      <xdr:col>6</xdr:col>
      <xdr:colOff>609600</xdr:colOff>
      <xdr:row>244</xdr:row>
      <xdr:rowOff>54618</xdr:rowOff>
    </xdr:to>
    <xdr:graphicFrame macro="">
      <xdr:nvGraphicFramePr>
        <xdr:cNvPr id="77" name="Chart 76">
          <a:extLst>
            <a:ext uri="{FF2B5EF4-FFF2-40B4-BE49-F238E27FC236}">
              <a16:creationId xmlns:a16="http://schemas.microsoft.com/office/drawing/2014/main" id="{D4255139-A1A8-4C3E-BB09-9CEA19B11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479649</xdr:colOff>
      <xdr:row>232</xdr:row>
      <xdr:rowOff>4763</xdr:rowOff>
    </xdr:from>
    <xdr:to>
      <xdr:col>3</xdr:col>
      <xdr:colOff>538163</xdr:colOff>
      <xdr:row>233</xdr:row>
      <xdr:rowOff>100013</xdr:rowOff>
    </xdr:to>
    <xdr:sp macro="" textlink="">
      <xdr:nvSpPr>
        <xdr:cNvPr id="78" name="TextBox 77">
          <a:extLst>
            <a:ext uri="{FF2B5EF4-FFF2-40B4-BE49-F238E27FC236}">
              <a16:creationId xmlns:a16="http://schemas.microsoft.com/office/drawing/2014/main" id="{CEF7F9A0-1093-4B14-9F4B-4EABD8A14011}"/>
            </a:ext>
          </a:extLst>
        </xdr:cNvPr>
        <xdr:cNvSpPr txBox="1"/>
      </xdr:nvSpPr>
      <xdr:spPr>
        <a:xfrm>
          <a:off x="5404074" y="31961138"/>
          <a:ext cx="1287239" cy="257175"/>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FF0000"/>
              </a:solidFill>
              <a:latin typeface="Arial Narrow" panose="020B0606020202030204" pitchFamily="34" charset="0"/>
            </a:rPr>
            <a:t>WHS  gap was +286m</a:t>
          </a:r>
        </a:p>
      </xdr:txBody>
    </xdr:sp>
    <xdr:clientData/>
  </xdr:twoCellAnchor>
  <xdr:twoCellAnchor>
    <xdr:from>
      <xdr:col>4</xdr:col>
      <xdr:colOff>423862</xdr:colOff>
      <xdr:row>231</xdr:row>
      <xdr:rowOff>116094</xdr:rowOff>
    </xdr:from>
    <xdr:to>
      <xdr:col>6</xdr:col>
      <xdr:colOff>576262</xdr:colOff>
      <xdr:row>233</xdr:row>
      <xdr:rowOff>48056</xdr:rowOff>
    </xdr:to>
    <xdr:sp macro="" textlink="">
      <xdr:nvSpPr>
        <xdr:cNvPr id="115" name="TextBox 114">
          <a:extLst>
            <a:ext uri="{FF2B5EF4-FFF2-40B4-BE49-F238E27FC236}">
              <a16:creationId xmlns:a16="http://schemas.microsoft.com/office/drawing/2014/main" id="{31341DB1-3911-413C-A019-384AA407370D}"/>
            </a:ext>
          </a:extLst>
        </xdr:cNvPr>
        <xdr:cNvSpPr txBox="1"/>
      </xdr:nvSpPr>
      <xdr:spPr>
        <a:xfrm>
          <a:off x="7191375" y="31910544"/>
          <a:ext cx="1381125" cy="255812"/>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solidFill>
                <a:srgbClr val="0070C0"/>
              </a:solidFill>
              <a:latin typeface="Arial Narrow" panose="020B0606020202030204" pitchFamily="34" charset="0"/>
            </a:rPr>
            <a:t>RBG  gap now +391m</a:t>
          </a:r>
          <a:endParaRPr lang="en-NZ" sz="1000">
            <a:solidFill>
              <a:srgbClr val="0070C0"/>
            </a:solidFill>
            <a:latin typeface="Arial Narrow" panose="020B0606020202030204" pitchFamily="34" charset="0"/>
          </a:endParaRPr>
        </a:p>
      </xdr:txBody>
    </xdr:sp>
    <xdr:clientData/>
  </xdr:twoCellAnchor>
  <xdr:twoCellAnchor>
    <xdr:from>
      <xdr:col>0</xdr:col>
      <xdr:colOff>685799</xdr:colOff>
      <xdr:row>40</xdr:row>
      <xdr:rowOff>4575</xdr:rowOff>
    </xdr:from>
    <xdr:to>
      <xdr:col>7</xdr:col>
      <xdr:colOff>4762</xdr:colOff>
      <xdr:row>54</xdr:row>
      <xdr:rowOff>12369</xdr:rowOff>
    </xdr:to>
    <xdr:graphicFrame macro="">
      <xdr:nvGraphicFramePr>
        <xdr:cNvPr id="2" name="Chart 1">
          <a:extLst>
            <a:ext uri="{FF2B5EF4-FFF2-40B4-BE49-F238E27FC236}">
              <a16:creationId xmlns:a16="http://schemas.microsoft.com/office/drawing/2014/main" id="{8A4D9772-652F-4A5C-BE27-03A0702498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3462</xdr:colOff>
      <xdr:row>9</xdr:row>
      <xdr:rowOff>6186</xdr:rowOff>
    </xdr:from>
    <xdr:to>
      <xdr:col>7</xdr:col>
      <xdr:colOff>4764</xdr:colOff>
      <xdr:row>23</xdr:row>
      <xdr:rowOff>12370</xdr:rowOff>
    </xdr:to>
    <xdr:graphicFrame macro="">
      <xdr:nvGraphicFramePr>
        <xdr:cNvPr id="14" name="Chart 13">
          <a:extLst>
            <a:ext uri="{FF2B5EF4-FFF2-40B4-BE49-F238E27FC236}">
              <a16:creationId xmlns:a16="http://schemas.microsoft.com/office/drawing/2014/main" id="{4934D8E3-1A49-4A2B-8708-B8A8900296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12184</xdr:colOff>
      <xdr:row>99</xdr:row>
      <xdr:rowOff>161925</xdr:rowOff>
    </xdr:from>
    <xdr:to>
      <xdr:col>7</xdr:col>
      <xdr:colOff>4762</xdr:colOff>
      <xdr:row>114</xdr:row>
      <xdr:rowOff>4762</xdr:rowOff>
    </xdr:to>
    <xdr:graphicFrame macro="">
      <xdr:nvGraphicFramePr>
        <xdr:cNvPr id="20" name="Chart 19">
          <a:extLst>
            <a:ext uri="{FF2B5EF4-FFF2-40B4-BE49-F238E27FC236}">
              <a16:creationId xmlns:a16="http://schemas.microsoft.com/office/drawing/2014/main" id="{86DE2FB2-731A-44C1-AB7F-56449F53C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xdr:col>
      <xdr:colOff>61913</xdr:colOff>
      <xdr:row>110</xdr:row>
      <xdr:rowOff>95250</xdr:rowOff>
    </xdr:from>
    <xdr:to>
      <xdr:col>4</xdr:col>
      <xdr:colOff>490538</xdr:colOff>
      <xdr:row>112</xdr:row>
      <xdr:rowOff>4762</xdr:rowOff>
    </xdr:to>
    <xdr:sp macro="" textlink="">
      <xdr:nvSpPr>
        <xdr:cNvPr id="23" name="TextBox 22">
          <a:extLst>
            <a:ext uri="{FF2B5EF4-FFF2-40B4-BE49-F238E27FC236}">
              <a16:creationId xmlns:a16="http://schemas.microsoft.com/office/drawing/2014/main" id="{0BD292ED-1F52-4BD0-8405-110428B94A27}"/>
            </a:ext>
          </a:extLst>
        </xdr:cNvPr>
        <xdr:cNvSpPr txBox="1"/>
      </xdr:nvSpPr>
      <xdr:spPr>
        <a:xfrm>
          <a:off x="6157913" y="20012025"/>
          <a:ext cx="1042988" cy="242887"/>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Cost </a:t>
          </a:r>
          <a:r>
            <a:rPr lang="en-NZ" sz="1100" b="1">
              <a:latin typeface="Arial Narrow" panose="020B0606020202030204" pitchFamily="34" charset="0"/>
            </a:rPr>
            <a:t>of</a:t>
          </a:r>
          <a:r>
            <a:rPr lang="en-NZ" sz="1100" b="1"/>
            <a:t> </a:t>
          </a:r>
          <a:r>
            <a:rPr lang="en-NZ" sz="1100" b="1">
              <a:latin typeface="Arial Narrow" panose="020B0606020202030204" pitchFamily="34" charset="0"/>
            </a:rPr>
            <a:t>Capital</a:t>
          </a:r>
        </a:p>
      </xdr:txBody>
    </xdr:sp>
    <xdr:clientData/>
  </xdr:twoCellAnchor>
  <xdr:twoCellAnchor>
    <xdr:from>
      <xdr:col>4</xdr:col>
      <xdr:colOff>304800</xdr:colOff>
      <xdr:row>106</xdr:row>
      <xdr:rowOff>114300</xdr:rowOff>
    </xdr:from>
    <xdr:to>
      <xdr:col>6</xdr:col>
      <xdr:colOff>276224</xdr:colOff>
      <xdr:row>108</xdr:row>
      <xdr:rowOff>28575</xdr:rowOff>
    </xdr:to>
    <xdr:sp macro="" textlink="">
      <xdr:nvSpPr>
        <xdr:cNvPr id="28" name="TextBox 27">
          <a:extLst>
            <a:ext uri="{FF2B5EF4-FFF2-40B4-BE49-F238E27FC236}">
              <a16:creationId xmlns:a16="http://schemas.microsoft.com/office/drawing/2014/main" id="{84D55F9B-B970-4259-944B-AE85B6B3E824}"/>
            </a:ext>
          </a:extLst>
        </xdr:cNvPr>
        <xdr:cNvSpPr txBox="1"/>
      </xdr:nvSpPr>
      <xdr:spPr>
        <a:xfrm>
          <a:off x="7072313" y="18211800"/>
          <a:ext cx="1200149" cy="24765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0">
              <a:latin typeface="Arial Narrow" panose="020B0606020202030204" pitchFamily="34" charset="0"/>
            </a:rPr>
            <a:t>2017 Spread +12.3%</a:t>
          </a:r>
        </a:p>
      </xdr:txBody>
    </xdr:sp>
    <xdr:clientData/>
  </xdr:twoCellAnchor>
  <xdr:twoCellAnchor>
    <xdr:from>
      <xdr:col>1</xdr:col>
      <xdr:colOff>15709</xdr:colOff>
      <xdr:row>161</xdr:row>
      <xdr:rowOff>33338</xdr:rowOff>
    </xdr:from>
    <xdr:to>
      <xdr:col>7</xdr:col>
      <xdr:colOff>23812</xdr:colOff>
      <xdr:row>175</xdr:row>
      <xdr:rowOff>138112</xdr:rowOff>
    </xdr:to>
    <xdr:graphicFrame macro="">
      <xdr:nvGraphicFramePr>
        <xdr:cNvPr id="41" name="Chart 40">
          <a:extLst>
            <a:ext uri="{FF2B5EF4-FFF2-40B4-BE49-F238E27FC236}">
              <a16:creationId xmlns:a16="http://schemas.microsoft.com/office/drawing/2014/main" id="{B125AD7C-4ED9-4924-9864-0DFC6B8612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oneCellAnchor>
    <xdr:from>
      <xdr:col>4</xdr:col>
      <xdr:colOff>686542</xdr:colOff>
      <xdr:row>171</xdr:row>
      <xdr:rowOff>55665</xdr:rowOff>
    </xdr:from>
    <xdr:ext cx="184731" cy="264560"/>
    <xdr:sp macro="" textlink="">
      <xdr:nvSpPr>
        <xdr:cNvPr id="53" name="TextBox 52">
          <a:extLst>
            <a:ext uri="{FF2B5EF4-FFF2-40B4-BE49-F238E27FC236}">
              <a16:creationId xmlns:a16="http://schemas.microsoft.com/office/drawing/2014/main" id="{EED12A4B-1C85-4D69-A2D3-CAD14A71943B}"/>
            </a:ext>
          </a:extLst>
        </xdr:cNvPr>
        <xdr:cNvSpPr txBox="1"/>
      </xdr:nvSpPr>
      <xdr:spPr>
        <a:xfrm>
          <a:off x="6372967" y="310023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twoCellAnchor>
    <xdr:from>
      <xdr:col>7</xdr:col>
      <xdr:colOff>6188</xdr:colOff>
      <xdr:row>161</xdr:row>
      <xdr:rowOff>19051</xdr:rowOff>
    </xdr:from>
    <xdr:to>
      <xdr:col>13</xdr:col>
      <xdr:colOff>0</xdr:colOff>
      <xdr:row>175</xdr:row>
      <xdr:rowOff>157162</xdr:rowOff>
    </xdr:to>
    <xdr:graphicFrame macro="">
      <xdr:nvGraphicFramePr>
        <xdr:cNvPr id="65" name="Chart 64">
          <a:extLst>
            <a:ext uri="{FF2B5EF4-FFF2-40B4-BE49-F238E27FC236}">
              <a16:creationId xmlns:a16="http://schemas.microsoft.com/office/drawing/2014/main" id="{819B4B6C-801D-4CA0-B3DE-7C242C5F02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112089</xdr:colOff>
      <xdr:row>510</xdr:row>
      <xdr:rowOff>210402</xdr:rowOff>
    </xdr:from>
    <xdr:to>
      <xdr:col>7</xdr:col>
      <xdr:colOff>477950</xdr:colOff>
      <xdr:row>530</xdr:row>
      <xdr:rowOff>12756</xdr:rowOff>
    </xdr:to>
    <xdr:graphicFrame macro="">
      <xdr:nvGraphicFramePr>
        <xdr:cNvPr id="102" name="Chart 101">
          <a:extLst>
            <a:ext uri="{FF2B5EF4-FFF2-40B4-BE49-F238E27FC236}">
              <a16:creationId xmlns:a16="http://schemas.microsoft.com/office/drawing/2014/main" id="{BCB3D6C8-7DF6-42F5-9938-5FDEA5421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7</xdr:col>
      <xdr:colOff>187875</xdr:colOff>
      <xdr:row>271</xdr:row>
      <xdr:rowOff>112072</xdr:rowOff>
    </xdr:from>
    <xdr:to>
      <xdr:col>7</xdr:col>
      <xdr:colOff>188055</xdr:colOff>
      <xdr:row>271</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05" name="Ink 104">
              <a:extLst>
                <a:ext uri="{FF2B5EF4-FFF2-40B4-BE49-F238E27FC236}">
                  <a16:creationId xmlns:a16="http://schemas.microsoft.com/office/drawing/2014/main" id="{AA6E08CD-A03D-475F-9EFF-8AFB8ACF4DB3}"/>
                </a:ext>
              </a:extLst>
            </xdr14:cNvPr>
            <xdr14:cNvContentPartPr/>
          </xdr14:nvContentPartPr>
          <xdr14:nvPr macro=""/>
          <xdr14:xfrm>
            <a:off x="10217700" y="28358460"/>
            <a:ext cx="180" cy="180"/>
          </xdr14:xfrm>
        </xdr:contentPart>
      </mc:Choice>
      <mc:Fallback xmlns="">
        <xdr:pic>
          <xdr:nvPicPr>
            <xdr:cNvPr id="87" name="Ink 86">
              <a:extLst>
                <a:ext uri="{FF2B5EF4-FFF2-40B4-BE49-F238E27FC236}">
                  <a16:creationId xmlns:a16="http://schemas.microsoft.com/office/drawing/2014/main" id="{4C9F0805-1F91-421D-B0AE-A70EA7B409C4}"/>
                </a:ext>
              </a:extLst>
            </xdr:cNvPr>
            <xdr:cNvPicPr/>
          </xdr:nvPicPr>
          <xdr:blipFill/>
          <xdr:spPr/>
        </xdr:pic>
      </mc:Fallback>
    </mc:AlternateContent>
    <xdr:clientData/>
  </xdr:twoCellAnchor>
  <xdr:twoCellAnchor>
    <xdr:from>
      <xdr:col>5</xdr:col>
      <xdr:colOff>419101</xdr:colOff>
      <xdr:row>163</xdr:row>
      <xdr:rowOff>0</xdr:rowOff>
    </xdr:from>
    <xdr:to>
      <xdr:col>6</xdr:col>
      <xdr:colOff>9525</xdr:colOff>
      <xdr:row>164</xdr:row>
      <xdr:rowOff>128588</xdr:rowOff>
    </xdr:to>
    <xdr:sp macro="" textlink="">
      <xdr:nvSpPr>
        <xdr:cNvPr id="107" name="TextBox 106">
          <a:extLst>
            <a:ext uri="{FF2B5EF4-FFF2-40B4-BE49-F238E27FC236}">
              <a16:creationId xmlns:a16="http://schemas.microsoft.com/office/drawing/2014/main" id="{C582430E-CA47-4747-8EA1-7A70E730F80D}"/>
            </a:ext>
          </a:extLst>
        </xdr:cNvPr>
        <xdr:cNvSpPr txBox="1"/>
      </xdr:nvSpPr>
      <xdr:spPr>
        <a:xfrm>
          <a:off x="6515101" y="27346275"/>
          <a:ext cx="204787" cy="29051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b="1" i="0" u="none" strike="noStrike">
              <a:solidFill>
                <a:srgbClr val="FF0000"/>
              </a:solidFill>
              <a:effectLst/>
              <a:latin typeface="+mn-lt"/>
              <a:ea typeface="+mn-ea"/>
              <a:cs typeface="+mn-cs"/>
            </a:rPr>
            <a:t>?</a:t>
          </a:r>
          <a:r>
            <a:rPr lang="en-NZ" sz="1200">
              <a:solidFill>
                <a:srgbClr val="FF0000"/>
              </a:solidFill>
            </a:rPr>
            <a:t> </a:t>
          </a:r>
        </a:p>
      </xdr:txBody>
    </xdr:sp>
    <xdr:clientData/>
  </xdr:twoCellAnchor>
  <xdr:twoCellAnchor>
    <xdr:from>
      <xdr:col>6</xdr:col>
      <xdr:colOff>295275</xdr:colOff>
      <xdr:row>104</xdr:row>
      <xdr:rowOff>119062</xdr:rowOff>
    </xdr:from>
    <xdr:to>
      <xdr:col>6</xdr:col>
      <xdr:colOff>295275</xdr:colOff>
      <xdr:row>106</xdr:row>
      <xdr:rowOff>52388</xdr:rowOff>
    </xdr:to>
    <xdr:cxnSp macro="">
      <xdr:nvCxnSpPr>
        <xdr:cNvPr id="33" name="Straight Arrow Connector 32">
          <a:extLst>
            <a:ext uri="{FF2B5EF4-FFF2-40B4-BE49-F238E27FC236}">
              <a16:creationId xmlns:a16="http://schemas.microsoft.com/office/drawing/2014/main" id="{42F8D5C6-27A3-4551-826A-E1A75D3D6A5E}"/>
            </a:ext>
          </a:extLst>
        </xdr:cNvPr>
        <xdr:cNvCxnSpPr/>
      </xdr:nvCxnSpPr>
      <xdr:spPr>
        <a:xfrm flipV="1">
          <a:off x="8234363" y="18040350"/>
          <a:ext cx="0" cy="2667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107</xdr:row>
      <xdr:rowOff>9525</xdr:rowOff>
    </xdr:from>
    <xdr:to>
      <xdr:col>6</xdr:col>
      <xdr:colOff>304800</xdr:colOff>
      <xdr:row>108</xdr:row>
      <xdr:rowOff>138113</xdr:rowOff>
    </xdr:to>
    <xdr:cxnSp macro="">
      <xdr:nvCxnSpPr>
        <xdr:cNvPr id="39" name="Straight Arrow Connector 38">
          <a:extLst>
            <a:ext uri="{FF2B5EF4-FFF2-40B4-BE49-F238E27FC236}">
              <a16:creationId xmlns:a16="http://schemas.microsoft.com/office/drawing/2014/main" id="{97C6D538-FAAC-4E47-8A59-BE8B58C0D215}"/>
            </a:ext>
          </a:extLst>
        </xdr:cNvPr>
        <xdr:cNvCxnSpPr/>
      </xdr:nvCxnSpPr>
      <xdr:spPr>
        <a:xfrm>
          <a:off x="8291513" y="18273713"/>
          <a:ext cx="9525" cy="295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452437</xdr:colOff>
      <xdr:row>275</xdr:row>
      <xdr:rowOff>157164</xdr:rowOff>
    </xdr:from>
    <xdr:to>
      <xdr:col>6</xdr:col>
      <xdr:colOff>33337</xdr:colOff>
      <xdr:row>276</xdr:row>
      <xdr:rowOff>33338</xdr:rowOff>
    </xdr:to>
    <xdr:cxnSp macro="">
      <xdr:nvCxnSpPr>
        <xdr:cNvPr id="46" name="Straight Arrow Connector 45">
          <a:extLst>
            <a:ext uri="{FF2B5EF4-FFF2-40B4-BE49-F238E27FC236}">
              <a16:creationId xmlns:a16="http://schemas.microsoft.com/office/drawing/2014/main" id="{A082ACDA-1122-4718-A9D1-B25A6F829666}"/>
            </a:ext>
          </a:extLst>
        </xdr:cNvPr>
        <xdr:cNvCxnSpPr/>
      </xdr:nvCxnSpPr>
      <xdr:spPr>
        <a:xfrm>
          <a:off x="7834312" y="38838189"/>
          <a:ext cx="195263" cy="38099"/>
        </a:xfrm>
        <a:prstGeom prst="straightConnector1">
          <a:avLst/>
        </a:prstGeom>
        <a:ln>
          <a:solidFill>
            <a:srgbClr val="E60019"/>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18030</xdr:colOff>
      <xdr:row>320</xdr:row>
      <xdr:rowOff>17009</xdr:rowOff>
    </xdr:from>
    <xdr:to>
      <xdr:col>7</xdr:col>
      <xdr:colOff>4763</xdr:colOff>
      <xdr:row>335</xdr:row>
      <xdr:rowOff>42523</xdr:rowOff>
    </xdr:to>
    <xdr:graphicFrame macro="">
      <xdr:nvGraphicFramePr>
        <xdr:cNvPr id="7" name="Chart 6">
          <a:extLst>
            <a:ext uri="{FF2B5EF4-FFF2-40B4-BE49-F238E27FC236}">
              <a16:creationId xmlns:a16="http://schemas.microsoft.com/office/drawing/2014/main" id="{0027E777-BDA3-44B8-A3C7-4C8A11728F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5</xdr:col>
      <xdr:colOff>514349</xdr:colOff>
      <xdr:row>26</xdr:row>
      <xdr:rowOff>80962</xdr:rowOff>
    </xdr:from>
    <xdr:to>
      <xdr:col>6</xdr:col>
      <xdr:colOff>609600</xdr:colOff>
      <xdr:row>27</xdr:row>
      <xdr:rowOff>152400</xdr:rowOff>
    </xdr:to>
    <xdr:sp macro="" textlink="">
      <xdr:nvSpPr>
        <xdr:cNvPr id="12" name="TextBox 11">
          <a:extLst>
            <a:ext uri="{FF2B5EF4-FFF2-40B4-BE49-F238E27FC236}">
              <a16:creationId xmlns:a16="http://schemas.microsoft.com/office/drawing/2014/main" id="{2392C0D6-F64A-4CC0-BF56-9FA9DDD926FF}"/>
            </a:ext>
          </a:extLst>
        </xdr:cNvPr>
        <xdr:cNvSpPr txBox="1"/>
      </xdr:nvSpPr>
      <xdr:spPr>
        <a:xfrm>
          <a:off x="7896224" y="5438775"/>
          <a:ext cx="709614" cy="233363"/>
        </a:xfrm>
        <a:prstGeom prst="rect">
          <a:avLst/>
        </a:prstGeom>
        <a:solidFill>
          <a:schemeClr val="accent1">
            <a:lumMod val="40000"/>
            <a:lumOff val="60000"/>
          </a:schemeClr>
        </a:solidFill>
        <a:ln w="9525"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ln>
                <a:solidFill>
                  <a:schemeClr val="lt1">
                    <a:shade val="50000"/>
                  </a:schemeClr>
                </a:solidFill>
              </a:ln>
            </a:rPr>
            <a:t>.....</a:t>
          </a:r>
        </a:p>
      </xdr:txBody>
    </xdr:sp>
    <xdr:clientData/>
  </xdr:twoCellAnchor>
  <xdr:twoCellAnchor>
    <xdr:from>
      <xdr:col>5</xdr:col>
      <xdr:colOff>561974</xdr:colOff>
      <xdr:row>57</xdr:row>
      <xdr:rowOff>95250</xdr:rowOff>
    </xdr:from>
    <xdr:to>
      <xdr:col>6</xdr:col>
      <xdr:colOff>609600</xdr:colOff>
      <xdr:row>59</xdr:row>
      <xdr:rowOff>0</xdr:rowOff>
    </xdr:to>
    <xdr:sp macro="" textlink="">
      <xdr:nvSpPr>
        <xdr:cNvPr id="122" name="TextBox 121">
          <a:extLst>
            <a:ext uri="{FF2B5EF4-FFF2-40B4-BE49-F238E27FC236}">
              <a16:creationId xmlns:a16="http://schemas.microsoft.com/office/drawing/2014/main" id="{5E4A1ACD-8663-490E-B356-56F8A30D92AD}"/>
            </a:ext>
          </a:extLst>
        </xdr:cNvPr>
        <xdr:cNvSpPr txBox="1"/>
      </xdr:nvSpPr>
      <xdr:spPr>
        <a:xfrm>
          <a:off x="7886699" y="11087100"/>
          <a:ext cx="661989" cy="22860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12</xdr:col>
      <xdr:colOff>38100</xdr:colOff>
      <xdr:row>174</xdr:row>
      <xdr:rowOff>147638</xdr:rowOff>
    </xdr:from>
    <xdr:to>
      <xdr:col>12</xdr:col>
      <xdr:colOff>747713</xdr:colOff>
      <xdr:row>176</xdr:row>
      <xdr:rowOff>128588</xdr:rowOff>
    </xdr:to>
    <xdr:sp macro="" textlink="">
      <xdr:nvSpPr>
        <xdr:cNvPr id="127" name="TextBox 126">
          <a:extLst>
            <a:ext uri="{FF2B5EF4-FFF2-40B4-BE49-F238E27FC236}">
              <a16:creationId xmlns:a16="http://schemas.microsoft.com/office/drawing/2014/main" id="{2085AEFC-6F7D-4D85-9AA0-D70F5228D246}"/>
            </a:ext>
          </a:extLst>
        </xdr:cNvPr>
        <xdr:cNvSpPr txBox="1"/>
      </xdr:nvSpPr>
      <xdr:spPr>
        <a:xfrm>
          <a:off x="10491788" y="28794076"/>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14</xdr:col>
      <xdr:colOff>409576</xdr:colOff>
      <xdr:row>287</xdr:row>
      <xdr:rowOff>128587</xdr:rowOff>
    </xdr:from>
    <xdr:to>
      <xdr:col>15</xdr:col>
      <xdr:colOff>504826</xdr:colOff>
      <xdr:row>289</xdr:row>
      <xdr:rowOff>85725</xdr:rowOff>
    </xdr:to>
    <xdr:sp macro="" textlink="">
      <xdr:nvSpPr>
        <xdr:cNvPr id="131" name="TextBox 130">
          <a:extLst>
            <a:ext uri="{FF2B5EF4-FFF2-40B4-BE49-F238E27FC236}">
              <a16:creationId xmlns:a16="http://schemas.microsoft.com/office/drawing/2014/main" id="{3306ADB8-17FA-4F64-835C-624157FB2BED}"/>
            </a:ext>
          </a:extLst>
        </xdr:cNvPr>
        <xdr:cNvSpPr txBox="1"/>
      </xdr:nvSpPr>
      <xdr:spPr>
        <a:xfrm>
          <a:off x="10482264" y="44958000"/>
          <a:ext cx="790575"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304801</xdr:colOff>
      <xdr:row>282</xdr:row>
      <xdr:rowOff>57150</xdr:rowOff>
    </xdr:from>
    <xdr:to>
      <xdr:col>6</xdr:col>
      <xdr:colOff>466725</xdr:colOff>
      <xdr:row>284</xdr:row>
      <xdr:rowOff>38100</xdr:rowOff>
    </xdr:to>
    <xdr:sp macro="" textlink="">
      <xdr:nvSpPr>
        <xdr:cNvPr id="138" name="TextBox 137">
          <a:extLst>
            <a:ext uri="{FF2B5EF4-FFF2-40B4-BE49-F238E27FC236}">
              <a16:creationId xmlns:a16="http://schemas.microsoft.com/office/drawing/2014/main" id="{BEA367C0-56D6-4F5A-AB64-DD51FD1109F7}"/>
            </a:ext>
          </a:extLst>
        </xdr:cNvPr>
        <xdr:cNvSpPr txBox="1"/>
      </xdr:nvSpPr>
      <xdr:spPr>
        <a:xfrm>
          <a:off x="7629526" y="42857738"/>
          <a:ext cx="7762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261938</xdr:colOff>
      <xdr:row>309</xdr:row>
      <xdr:rowOff>66675</xdr:rowOff>
    </xdr:from>
    <xdr:to>
      <xdr:col>6</xdr:col>
      <xdr:colOff>409575</xdr:colOff>
      <xdr:row>311</xdr:row>
      <xdr:rowOff>38100</xdr:rowOff>
    </xdr:to>
    <xdr:sp macro="" textlink="">
      <xdr:nvSpPr>
        <xdr:cNvPr id="139" name="TextBox 138">
          <a:extLst>
            <a:ext uri="{FF2B5EF4-FFF2-40B4-BE49-F238E27FC236}">
              <a16:creationId xmlns:a16="http://schemas.microsoft.com/office/drawing/2014/main" id="{36F6605F-343E-4234-A3AB-B7258C82D917}"/>
            </a:ext>
          </a:extLst>
        </xdr:cNvPr>
        <xdr:cNvSpPr txBox="1"/>
      </xdr:nvSpPr>
      <xdr:spPr>
        <a:xfrm>
          <a:off x="7643813" y="44253150"/>
          <a:ext cx="762000" cy="3048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528638</xdr:colOff>
      <xdr:row>177</xdr:row>
      <xdr:rowOff>1</xdr:rowOff>
    </xdr:from>
    <xdr:to>
      <xdr:col>7</xdr:col>
      <xdr:colOff>9526</xdr:colOff>
      <xdr:row>178</xdr:row>
      <xdr:rowOff>142876</xdr:rowOff>
    </xdr:to>
    <xdr:sp macro="" textlink="">
      <xdr:nvSpPr>
        <xdr:cNvPr id="140" name="TextBox 139">
          <a:extLst>
            <a:ext uri="{FF2B5EF4-FFF2-40B4-BE49-F238E27FC236}">
              <a16:creationId xmlns:a16="http://schemas.microsoft.com/office/drawing/2014/main" id="{7C4AD1BE-EFCF-479B-ABD2-336D8D993522}"/>
            </a:ext>
          </a:extLst>
        </xdr:cNvPr>
        <xdr:cNvSpPr txBox="1"/>
      </xdr:nvSpPr>
      <xdr:spPr>
        <a:xfrm>
          <a:off x="6624638" y="29617989"/>
          <a:ext cx="709613" cy="304800"/>
        </a:xfrm>
        <a:prstGeom prst="rect">
          <a:avLst/>
        </a:prstGeom>
        <a:no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latin typeface="Arial Narrow" panose="020B0606020202030204" pitchFamily="34" charset="0"/>
            </a:rPr>
            <a:t>trends</a:t>
          </a:r>
          <a:r>
            <a:rPr lang="en-NZ" sz="1100"/>
            <a:t> </a:t>
          </a:r>
          <a:r>
            <a:rPr lang="en-NZ" sz="1100" baseline="0"/>
            <a:t>.....</a:t>
          </a:r>
        </a:p>
      </xdr:txBody>
    </xdr:sp>
    <xdr:clientData/>
  </xdr:twoCellAnchor>
  <xdr:twoCellAnchor>
    <xdr:from>
      <xdr:col>5</xdr:col>
      <xdr:colOff>376238</xdr:colOff>
      <xdr:row>274</xdr:row>
      <xdr:rowOff>61911</xdr:rowOff>
    </xdr:from>
    <xdr:to>
      <xdr:col>5</xdr:col>
      <xdr:colOff>604838</xdr:colOff>
      <xdr:row>275</xdr:row>
      <xdr:rowOff>147636</xdr:rowOff>
    </xdr:to>
    <xdr:sp macro="" textlink="">
      <xdr:nvSpPr>
        <xdr:cNvPr id="17" name="TextBox 16">
          <a:extLst>
            <a:ext uri="{FF2B5EF4-FFF2-40B4-BE49-F238E27FC236}">
              <a16:creationId xmlns:a16="http://schemas.microsoft.com/office/drawing/2014/main" id="{1937C373-D3F4-488F-862D-612BFB8146F2}"/>
            </a:ext>
          </a:extLst>
        </xdr:cNvPr>
        <xdr:cNvSpPr txBox="1"/>
      </xdr:nvSpPr>
      <xdr:spPr>
        <a:xfrm>
          <a:off x="7758113" y="38581011"/>
          <a:ext cx="228600" cy="247650"/>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i="0" u="none" strike="noStrike">
              <a:solidFill>
                <a:srgbClr val="FF0000"/>
              </a:solidFill>
              <a:effectLst/>
              <a:latin typeface="+mn-lt"/>
              <a:ea typeface="+mn-ea"/>
              <a:cs typeface="+mn-cs"/>
            </a:rPr>
            <a:t>?</a:t>
          </a:r>
          <a:r>
            <a:rPr lang="en-NZ">
              <a:solidFill>
                <a:srgbClr val="FF0000"/>
              </a:solidFill>
            </a:rPr>
            <a:t> </a:t>
          </a:r>
          <a:endParaRPr lang="en-NZ" sz="1100">
            <a:solidFill>
              <a:srgbClr val="FF0000"/>
            </a:solidFill>
          </a:endParaRPr>
        </a:p>
      </xdr:txBody>
    </xdr:sp>
    <xdr:clientData/>
  </xdr:twoCellAnchor>
  <xdr:twoCellAnchor>
    <xdr:from>
      <xdr:col>5</xdr:col>
      <xdr:colOff>395288</xdr:colOff>
      <xdr:row>233</xdr:row>
      <xdr:rowOff>128588</xdr:rowOff>
    </xdr:from>
    <xdr:to>
      <xdr:col>6</xdr:col>
      <xdr:colOff>390525</xdr:colOff>
      <xdr:row>237</xdr:row>
      <xdr:rowOff>38100</xdr:rowOff>
    </xdr:to>
    <xdr:cxnSp macro="">
      <xdr:nvCxnSpPr>
        <xdr:cNvPr id="51" name="Straight Arrow Connector 50">
          <a:extLst>
            <a:ext uri="{FF2B5EF4-FFF2-40B4-BE49-F238E27FC236}">
              <a16:creationId xmlns:a16="http://schemas.microsoft.com/office/drawing/2014/main" id="{3F9E5E28-A85E-4695-AACF-48D360F2A9EF}"/>
            </a:ext>
          </a:extLst>
        </xdr:cNvPr>
        <xdr:cNvCxnSpPr/>
      </xdr:nvCxnSpPr>
      <xdr:spPr>
        <a:xfrm>
          <a:off x="7777163" y="32246888"/>
          <a:ext cx="609600" cy="5572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233</xdr:row>
      <xdr:rowOff>152400</xdr:rowOff>
    </xdr:from>
    <xdr:to>
      <xdr:col>2</xdr:col>
      <xdr:colOff>219075</xdr:colOff>
      <xdr:row>240</xdr:row>
      <xdr:rowOff>19050</xdr:rowOff>
    </xdr:to>
    <xdr:cxnSp macro="">
      <xdr:nvCxnSpPr>
        <xdr:cNvPr id="60" name="Straight Arrow Connector 59">
          <a:extLst>
            <a:ext uri="{FF2B5EF4-FFF2-40B4-BE49-F238E27FC236}">
              <a16:creationId xmlns:a16="http://schemas.microsoft.com/office/drawing/2014/main" id="{386A3EFA-C751-4475-AEC0-836EA4D29BAD}"/>
            </a:ext>
          </a:extLst>
        </xdr:cNvPr>
        <xdr:cNvCxnSpPr/>
      </xdr:nvCxnSpPr>
      <xdr:spPr>
        <a:xfrm flipH="1">
          <a:off x="5729288" y="32270700"/>
          <a:ext cx="28575" cy="100012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327952</xdr:colOff>
      <xdr:row>563</xdr:row>
      <xdr:rowOff>84367</xdr:rowOff>
    </xdr:from>
    <xdr:to>
      <xdr:col>12</xdr:col>
      <xdr:colOff>328132</xdr:colOff>
      <xdr:row>563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41" name="Ink 140">
              <a:extLst>
                <a:ext uri="{FF2B5EF4-FFF2-40B4-BE49-F238E27FC236}">
                  <a16:creationId xmlns:a16="http://schemas.microsoft.com/office/drawing/2014/main" id="{9A715BB2-A209-4361-B000-B2115B61A1A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603</xdr:row>
      <xdr:rowOff>84367</xdr:rowOff>
    </xdr:from>
    <xdr:to>
      <xdr:col>12</xdr:col>
      <xdr:colOff>328132</xdr:colOff>
      <xdr:row>603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48" name="Ink 147">
              <a:extLst>
                <a:ext uri="{FF2B5EF4-FFF2-40B4-BE49-F238E27FC236}">
                  <a16:creationId xmlns:a16="http://schemas.microsoft.com/office/drawing/2014/main" id="{BF5286AE-9602-4F68-A754-95930D1ABD71}"/>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720</xdr:row>
      <xdr:rowOff>84367</xdr:rowOff>
    </xdr:from>
    <xdr:to>
      <xdr:col>17</xdr:col>
      <xdr:colOff>328132</xdr:colOff>
      <xdr:row>720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61" name="Ink 160">
              <a:extLst>
                <a:ext uri="{FF2B5EF4-FFF2-40B4-BE49-F238E27FC236}">
                  <a16:creationId xmlns:a16="http://schemas.microsoft.com/office/drawing/2014/main" id="{4EA24B85-EBE8-43F9-9B44-4A4A03A08098}"/>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17</xdr:col>
      <xdr:colOff>327952</xdr:colOff>
      <xdr:row>627</xdr:row>
      <xdr:rowOff>84367</xdr:rowOff>
    </xdr:from>
    <xdr:to>
      <xdr:col>17</xdr:col>
      <xdr:colOff>328132</xdr:colOff>
      <xdr:row>627</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18" name="Ink 117">
              <a:extLst>
                <a:ext uri="{FF2B5EF4-FFF2-40B4-BE49-F238E27FC236}">
                  <a16:creationId xmlns:a16="http://schemas.microsoft.com/office/drawing/2014/main" id="{BE82533F-331F-4C58-BDC9-37705DE48B6A}"/>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654</xdr:row>
      <xdr:rowOff>84367</xdr:rowOff>
    </xdr:from>
    <xdr:to>
      <xdr:col>12</xdr:col>
      <xdr:colOff>328132</xdr:colOff>
      <xdr:row>654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23" name="Ink 122">
              <a:extLst>
                <a:ext uri="{FF2B5EF4-FFF2-40B4-BE49-F238E27FC236}">
                  <a16:creationId xmlns:a16="http://schemas.microsoft.com/office/drawing/2014/main" id="{317DB132-849A-4FE4-92CE-0FEC4C784343}"/>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12</xdr:col>
      <xdr:colOff>327952</xdr:colOff>
      <xdr:row>664</xdr:row>
      <xdr:rowOff>84367</xdr:rowOff>
    </xdr:from>
    <xdr:to>
      <xdr:col>12</xdr:col>
      <xdr:colOff>328132</xdr:colOff>
      <xdr:row>664</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24" name="Ink 123">
              <a:extLst>
                <a:ext uri="{FF2B5EF4-FFF2-40B4-BE49-F238E27FC236}">
                  <a16:creationId xmlns:a16="http://schemas.microsoft.com/office/drawing/2014/main" id="{C0A76F4A-D04C-472A-84F4-DDD278A4F76F}"/>
                </a:ext>
              </a:extLst>
            </xdr14:cNvPr>
            <xdr14:cNvContentPartPr/>
          </xdr14:nvContentPartPr>
          <xdr14:nvPr macro=""/>
          <xdr14:xfrm>
            <a:off x="9752940" y="39655980"/>
            <a:ext cx="180" cy="180"/>
          </xdr14:xfrm>
        </xdr:contentPart>
      </mc:Choice>
      <mc:Fallback xmlns="">
        <xdr:pic>
          <xdr:nvPicPr>
            <xdr:cNvPr id="130" name="Ink 129">
              <a:extLst>
                <a:ext uri="{FF2B5EF4-FFF2-40B4-BE49-F238E27FC236}">
                  <a16:creationId xmlns:a16="http://schemas.microsoft.com/office/drawing/2014/main" id="{95C04C17-C89E-45DA-9465-0C2D3EDDA9E8}"/>
                </a:ext>
              </a:extLst>
            </xdr:cNvPr>
            <xdr:cNvPicPr/>
          </xdr:nvPicPr>
          <xdr:blipFill/>
          <xdr:spPr/>
        </xdr:pic>
      </mc:Fallback>
    </mc:AlternateContent>
    <xdr:clientData/>
  </xdr:twoCellAnchor>
  <xdr:twoCellAnchor>
    <xdr:from>
      <xdr:col>1</xdr:col>
      <xdr:colOff>23642</xdr:colOff>
      <xdr:row>485</xdr:row>
      <xdr:rowOff>7142</xdr:rowOff>
    </xdr:from>
    <xdr:to>
      <xdr:col>7</xdr:col>
      <xdr:colOff>460941</xdr:colOff>
      <xdr:row>502</xdr:row>
      <xdr:rowOff>338</xdr:rowOff>
    </xdr:to>
    <xdr:graphicFrame macro="">
      <xdr:nvGraphicFramePr>
        <xdr:cNvPr id="8" name="Chart 7">
          <a:extLst>
            <a:ext uri="{FF2B5EF4-FFF2-40B4-BE49-F238E27FC236}">
              <a16:creationId xmlns:a16="http://schemas.microsoft.com/office/drawing/2014/main" id="{CA6DA727-1F38-4164-B3B6-4DA94EA2C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xdr:col>
      <xdr:colOff>4763</xdr:colOff>
      <xdr:row>484</xdr:row>
      <xdr:rowOff>66673</xdr:rowOff>
    </xdr:from>
    <xdr:to>
      <xdr:col>8</xdr:col>
      <xdr:colOff>447675</xdr:colOff>
      <xdr:row>485</xdr:row>
      <xdr:rowOff>161924</xdr:rowOff>
    </xdr:to>
    <xdr:sp macro="" textlink="">
      <xdr:nvSpPr>
        <xdr:cNvPr id="22" name="TextBox 21">
          <a:extLst>
            <a:ext uri="{FF2B5EF4-FFF2-40B4-BE49-F238E27FC236}">
              <a16:creationId xmlns:a16="http://schemas.microsoft.com/office/drawing/2014/main" id="{AECB09E7-FEB9-4E3A-B4C1-24D7B8BDD22A}"/>
            </a:ext>
          </a:extLst>
        </xdr:cNvPr>
        <xdr:cNvSpPr txBox="1"/>
      </xdr:nvSpPr>
      <xdr:spPr>
        <a:xfrm>
          <a:off x="4929188" y="70661211"/>
          <a:ext cx="442912" cy="2571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7</xdr:col>
      <xdr:colOff>20070</xdr:colOff>
      <xdr:row>511</xdr:row>
      <xdr:rowOff>21431</xdr:rowOff>
    </xdr:from>
    <xdr:to>
      <xdr:col>7</xdr:col>
      <xdr:colOff>462982</xdr:colOff>
      <xdr:row>512</xdr:row>
      <xdr:rowOff>104435</xdr:rowOff>
    </xdr:to>
    <xdr:sp macro="" textlink="">
      <xdr:nvSpPr>
        <xdr:cNvPr id="125" name="TextBox 124">
          <a:extLst>
            <a:ext uri="{FF2B5EF4-FFF2-40B4-BE49-F238E27FC236}">
              <a16:creationId xmlns:a16="http://schemas.microsoft.com/office/drawing/2014/main" id="{52E754E9-155A-438F-8B53-FDEE44C84D1C}"/>
            </a:ext>
          </a:extLst>
        </xdr:cNvPr>
        <xdr:cNvSpPr txBox="1"/>
      </xdr:nvSpPr>
      <xdr:spPr>
        <a:xfrm>
          <a:off x="4259546" y="76986833"/>
          <a:ext cx="442912" cy="25734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a:latin typeface="Arial Narrow" panose="020B0606020202030204" pitchFamily="34" charset="0"/>
            </a:rPr>
            <a:t>$m</a:t>
          </a:r>
        </a:p>
      </xdr:txBody>
    </xdr:sp>
    <xdr:clientData/>
  </xdr:twoCellAnchor>
  <xdr:twoCellAnchor>
    <xdr:from>
      <xdr:col>0</xdr:col>
      <xdr:colOff>-5330700</xdr:colOff>
      <xdr:row>1</xdr:row>
      <xdr:rowOff>0</xdr:rowOff>
    </xdr:from>
    <xdr:to>
      <xdr:col>0</xdr:col>
      <xdr:colOff>-5194260</xdr:colOff>
      <xdr:row>1</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57" name="Ink 56">
              <a:extLst>
                <a:ext uri="{FF2B5EF4-FFF2-40B4-BE49-F238E27FC236}">
                  <a16:creationId xmlns:a16="http://schemas.microsoft.com/office/drawing/2014/main" id="{34077D38-E5C8-491D-97E9-633E722F22CF}"/>
                </a:ext>
              </a:extLst>
            </xdr14:cNvPr>
            <xdr14:cNvContentPartPr/>
          </xdr14:nvContentPartPr>
          <xdr14:nvPr macro=""/>
          <xdr14:xfrm>
            <a:off x="-5330700" y="230760"/>
            <a:ext cx="136440" cy="75240"/>
          </xdr14:xfrm>
        </xdr:contentPart>
      </mc:Choice>
      <mc:Fallback xmlns="">
        <xdr:pic>
          <xdr:nvPicPr>
            <xdr:cNvPr id="57" name="Ink 56">
              <a:extLst>
                <a:ext uri="{FF2B5EF4-FFF2-40B4-BE49-F238E27FC236}">
                  <a16:creationId xmlns:a16="http://schemas.microsoft.com/office/drawing/2014/main" id="{34077D38-E5C8-491D-97E9-633E722F22CF}"/>
                </a:ext>
              </a:extLst>
            </xdr:cNvPr>
            <xdr:cNvPicPr/>
          </xdr:nvPicPr>
          <xdr:blipFill/>
          <xdr:spPr/>
        </xdr:pic>
      </mc:Fallback>
    </mc:AlternateContent>
    <xdr:clientData/>
  </xdr:twoCellAnchor>
  <xdr:twoCellAnchor>
    <xdr:from>
      <xdr:col>11</xdr:col>
      <xdr:colOff>189</xdr:colOff>
      <xdr:row>32</xdr:row>
      <xdr:rowOff>158557</xdr:rowOff>
    </xdr:from>
    <xdr:to>
      <xdr:col>11</xdr:col>
      <xdr:colOff>369</xdr:colOff>
      <xdr:row>32</xdr:row>
      <xdr:rowOff>158737</xdr:rowOff>
    </xdr:to>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63" name="Ink 62">
              <a:extLst>
                <a:ext uri="{FF2B5EF4-FFF2-40B4-BE49-F238E27FC236}">
                  <a16:creationId xmlns:a16="http://schemas.microsoft.com/office/drawing/2014/main" id="{AD099E58-780C-4FFC-AF2E-5E386AEC6657}"/>
                </a:ext>
              </a:extLst>
            </xdr14:cNvPr>
            <xdr14:cNvContentPartPr/>
          </xdr14:nvContentPartPr>
          <xdr14:nvPr macro=""/>
          <xdr14:xfrm>
            <a:off x="6684698" y="5716225"/>
            <a:ext cx="180" cy="180"/>
          </xdr14:xfrm>
        </xdr:contentPart>
      </mc:Choice>
      <mc:Fallback xmlns="">
        <xdr:pic>
          <xdr:nvPicPr>
            <xdr:cNvPr id="63" name="Ink 62">
              <a:extLst>
                <a:ext uri="{FF2B5EF4-FFF2-40B4-BE49-F238E27FC236}">
                  <a16:creationId xmlns:a16="http://schemas.microsoft.com/office/drawing/2014/main" id="{AD099E58-780C-4FFC-AF2E-5E386AEC6657}"/>
                </a:ext>
              </a:extLst>
            </xdr:cNvPr>
            <xdr:cNvPicPr/>
          </xdr:nvPicPr>
          <xdr:blipFill/>
          <xdr:spPr/>
        </xdr:pic>
      </mc:Fallback>
    </mc:AlternateContent>
    <xdr:clientData/>
  </xdr:twoCellAnchor>
  <xdr:twoCellAnchor>
    <xdr:from>
      <xdr:col>9</xdr:col>
      <xdr:colOff>187875</xdr:colOff>
      <xdr:row>230</xdr:row>
      <xdr:rowOff>112072</xdr:rowOff>
    </xdr:from>
    <xdr:to>
      <xdr:col>9</xdr:col>
      <xdr:colOff>188055</xdr:colOff>
      <xdr:row>230</xdr:row>
      <xdr:rowOff>112252</xdr:rowOff>
    </xdr:to>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64" name="Ink 63">
              <a:extLst>
                <a:ext uri="{FF2B5EF4-FFF2-40B4-BE49-F238E27FC236}">
                  <a16:creationId xmlns:a16="http://schemas.microsoft.com/office/drawing/2014/main" id="{A9BEE7F6-81F2-4C19-A356-2DE277C76C9E}"/>
                </a:ext>
              </a:extLst>
            </xdr14:cNvPr>
            <xdr14:cNvContentPartPr/>
          </xdr14:nvContentPartPr>
          <xdr14:nvPr macro=""/>
          <xdr14:xfrm>
            <a:off x="5647741" y="32361001"/>
            <a:ext cx="180" cy="180"/>
          </xdr14:xfrm>
        </xdr:contentPart>
      </mc:Choice>
      <mc:Fallback xmlns="">
        <xdr:pic>
          <xdr:nvPicPr>
            <xdr:cNvPr id="64" name="Ink 63">
              <a:extLst>
                <a:ext uri="{FF2B5EF4-FFF2-40B4-BE49-F238E27FC236}">
                  <a16:creationId xmlns:a16="http://schemas.microsoft.com/office/drawing/2014/main" id="{A9BEE7F6-81F2-4C19-A356-2DE277C76C9E}"/>
                </a:ext>
              </a:extLst>
            </xdr:cNvPr>
            <xdr:cNvPicPr/>
          </xdr:nvPicPr>
          <xdr:blipFill/>
          <xdr:spPr/>
        </xdr:pic>
      </mc:Fallback>
    </mc:AlternateContent>
    <xdr:clientData/>
  </xdr:twoCellAnchor>
  <xdr:twoCellAnchor>
    <xdr:from>
      <xdr:col>12</xdr:col>
      <xdr:colOff>327952</xdr:colOff>
      <xdr:row>543</xdr:row>
      <xdr:rowOff>84367</xdr:rowOff>
    </xdr:from>
    <xdr:to>
      <xdr:col>12</xdr:col>
      <xdr:colOff>328132</xdr:colOff>
      <xdr:row>543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66" name="Ink 65">
              <a:extLst>
                <a:ext uri="{FF2B5EF4-FFF2-40B4-BE49-F238E27FC236}">
                  <a16:creationId xmlns:a16="http://schemas.microsoft.com/office/drawing/2014/main" id="{0CF7858D-C6CF-4BCB-BA58-A8F9FE7D7A72}"/>
                </a:ext>
              </a:extLst>
            </xdr14:cNvPr>
            <xdr14:cNvContentPartPr/>
          </xdr14:nvContentPartPr>
          <xdr14:nvPr macro=""/>
          <xdr14:xfrm>
            <a:off x="7624782" y="84410383"/>
            <a:ext cx="180" cy="180"/>
          </xdr14:xfrm>
        </xdr:contentPart>
      </mc:Choice>
      <mc:Fallback xmlns="">
        <xdr:pic>
          <xdr:nvPicPr>
            <xdr:cNvPr id="66" name="Ink 65">
              <a:extLst>
                <a:ext uri="{FF2B5EF4-FFF2-40B4-BE49-F238E27FC236}">
                  <a16:creationId xmlns:a16="http://schemas.microsoft.com/office/drawing/2014/main" id="{0CF7858D-C6CF-4BCB-BA58-A8F9FE7D7A72}"/>
                </a:ext>
              </a:extLst>
            </xdr:cNvPr>
            <xdr:cNvPicPr/>
          </xdr:nvPicPr>
          <xdr:blipFill/>
          <xdr:spPr/>
        </xdr:pic>
      </mc:Fallback>
    </mc:AlternateContent>
    <xdr:clientData/>
  </xdr:twoCellAnchor>
  <xdr:twoCellAnchor>
    <xdr:from>
      <xdr:col>12</xdr:col>
      <xdr:colOff>327952</xdr:colOff>
      <xdr:row>553</xdr:row>
      <xdr:rowOff>84367</xdr:rowOff>
    </xdr:from>
    <xdr:to>
      <xdr:col>12</xdr:col>
      <xdr:colOff>328132</xdr:colOff>
      <xdr:row>553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67" name="Ink 66">
              <a:extLst>
                <a:ext uri="{FF2B5EF4-FFF2-40B4-BE49-F238E27FC236}">
                  <a16:creationId xmlns:a16="http://schemas.microsoft.com/office/drawing/2014/main" id="{EDA598D9-B13D-4092-84D6-DB376319FD35}"/>
                </a:ext>
              </a:extLst>
            </xdr14:cNvPr>
            <xdr14:cNvContentPartPr/>
          </xdr14:nvContentPartPr>
          <xdr14:nvPr macro=""/>
          <xdr14:xfrm>
            <a:off x="7624782" y="86124032"/>
            <a:ext cx="180" cy="180"/>
          </xdr14:xfrm>
        </xdr:contentPart>
      </mc:Choice>
      <mc:Fallback xmlns="">
        <xdr:pic>
          <xdr:nvPicPr>
            <xdr:cNvPr id="67" name="Ink 66">
              <a:extLst>
                <a:ext uri="{FF2B5EF4-FFF2-40B4-BE49-F238E27FC236}">
                  <a16:creationId xmlns:a16="http://schemas.microsoft.com/office/drawing/2014/main" id="{EDA598D9-B13D-4092-84D6-DB376319FD35}"/>
                </a:ext>
              </a:extLst>
            </xdr:cNvPr>
            <xdr:cNvPicPr/>
          </xdr:nvPicPr>
          <xdr:blipFill/>
          <xdr:spPr/>
        </xdr:pic>
      </mc:Fallback>
    </mc:AlternateContent>
    <xdr:clientData/>
  </xdr:twoCellAnchor>
  <xdr:twoCellAnchor>
    <xdr:from>
      <xdr:col>12</xdr:col>
      <xdr:colOff>327952</xdr:colOff>
      <xdr:row>573</xdr:row>
      <xdr:rowOff>84367</xdr:rowOff>
    </xdr:from>
    <xdr:to>
      <xdr:col>12</xdr:col>
      <xdr:colOff>328132</xdr:colOff>
      <xdr:row>573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68" name="Ink 67">
              <a:extLst>
                <a:ext uri="{FF2B5EF4-FFF2-40B4-BE49-F238E27FC236}">
                  <a16:creationId xmlns:a16="http://schemas.microsoft.com/office/drawing/2014/main" id="{E74A48A7-A609-4153-B6AD-A699F35E22EB}"/>
                </a:ext>
              </a:extLst>
            </xdr14:cNvPr>
            <xdr14:cNvContentPartPr/>
          </xdr14:nvContentPartPr>
          <xdr14:nvPr macro=""/>
          <xdr14:xfrm>
            <a:off x="7624782" y="89559836"/>
            <a:ext cx="180" cy="180"/>
          </xdr14:xfrm>
        </xdr:contentPart>
      </mc:Choice>
      <mc:Fallback xmlns="">
        <xdr:pic>
          <xdr:nvPicPr>
            <xdr:cNvPr id="68" name="Ink 67">
              <a:extLst>
                <a:ext uri="{FF2B5EF4-FFF2-40B4-BE49-F238E27FC236}">
                  <a16:creationId xmlns:a16="http://schemas.microsoft.com/office/drawing/2014/main" id="{E74A48A7-A609-4153-B6AD-A699F35E22EB}"/>
                </a:ext>
              </a:extLst>
            </xdr:cNvPr>
            <xdr:cNvPicPr/>
          </xdr:nvPicPr>
          <xdr:blipFill/>
          <xdr:spPr/>
        </xdr:pic>
      </mc:Fallback>
    </mc:AlternateContent>
    <xdr:clientData/>
  </xdr:twoCellAnchor>
  <xdr:twoCellAnchor>
    <xdr:from>
      <xdr:col>12</xdr:col>
      <xdr:colOff>327952</xdr:colOff>
      <xdr:row>583</xdr:row>
      <xdr:rowOff>84367</xdr:rowOff>
    </xdr:from>
    <xdr:to>
      <xdr:col>12</xdr:col>
      <xdr:colOff>328132</xdr:colOff>
      <xdr:row>583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69" name="Ink 68">
              <a:extLst>
                <a:ext uri="{FF2B5EF4-FFF2-40B4-BE49-F238E27FC236}">
                  <a16:creationId xmlns:a16="http://schemas.microsoft.com/office/drawing/2014/main" id="{837528EA-308F-4419-B6CD-678D27D8C87A}"/>
                </a:ext>
              </a:extLst>
            </xdr14:cNvPr>
            <xdr14:cNvContentPartPr/>
          </xdr14:nvContentPartPr>
          <xdr14:nvPr macro=""/>
          <xdr14:xfrm>
            <a:off x="7624782" y="91281990"/>
            <a:ext cx="180" cy="180"/>
          </xdr14:xfrm>
        </xdr:contentPart>
      </mc:Choice>
      <mc:Fallback xmlns="">
        <xdr:pic>
          <xdr:nvPicPr>
            <xdr:cNvPr id="69" name="Ink 68">
              <a:extLst>
                <a:ext uri="{FF2B5EF4-FFF2-40B4-BE49-F238E27FC236}">
                  <a16:creationId xmlns:a16="http://schemas.microsoft.com/office/drawing/2014/main" id="{837528EA-308F-4419-B6CD-678D27D8C87A}"/>
                </a:ext>
              </a:extLst>
            </xdr:cNvPr>
            <xdr:cNvPicPr/>
          </xdr:nvPicPr>
          <xdr:blipFill/>
          <xdr:spPr/>
        </xdr:pic>
      </mc:Fallback>
    </mc:AlternateContent>
    <xdr:clientData/>
  </xdr:twoCellAnchor>
  <xdr:twoCellAnchor>
    <xdr:from>
      <xdr:col>12</xdr:col>
      <xdr:colOff>327952</xdr:colOff>
      <xdr:row>593</xdr:row>
      <xdr:rowOff>84367</xdr:rowOff>
    </xdr:from>
    <xdr:to>
      <xdr:col>12</xdr:col>
      <xdr:colOff>328132</xdr:colOff>
      <xdr:row>593</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76" name="Ink 75">
              <a:extLst>
                <a:ext uri="{FF2B5EF4-FFF2-40B4-BE49-F238E27FC236}">
                  <a16:creationId xmlns:a16="http://schemas.microsoft.com/office/drawing/2014/main" id="{1745896F-D3F9-424F-8A9E-B616F68990F5}"/>
                </a:ext>
              </a:extLst>
            </xdr14:cNvPr>
            <xdr14:cNvContentPartPr/>
          </xdr14:nvContentPartPr>
          <xdr14:nvPr macro=""/>
          <xdr14:xfrm>
            <a:off x="7624782" y="93012648"/>
            <a:ext cx="180" cy="180"/>
          </xdr14:xfrm>
        </xdr:contentPart>
      </mc:Choice>
      <mc:Fallback xmlns="">
        <xdr:pic>
          <xdr:nvPicPr>
            <xdr:cNvPr id="76" name="Ink 75">
              <a:extLst>
                <a:ext uri="{FF2B5EF4-FFF2-40B4-BE49-F238E27FC236}">
                  <a16:creationId xmlns:a16="http://schemas.microsoft.com/office/drawing/2014/main" id="{1745896F-D3F9-424F-8A9E-B616F68990F5}"/>
                </a:ext>
              </a:extLst>
            </xdr:cNvPr>
            <xdr:cNvPicPr/>
          </xdr:nvPicPr>
          <xdr:blipFill/>
          <xdr:spPr/>
        </xdr:pic>
      </mc:Fallback>
    </mc:AlternateContent>
    <xdr:clientData/>
  </xdr:twoCellAnchor>
  <xdr:twoCellAnchor>
    <xdr:from>
      <xdr:col>12</xdr:col>
      <xdr:colOff>327952</xdr:colOff>
      <xdr:row>616</xdr:row>
      <xdr:rowOff>84367</xdr:rowOff>
    </xdr:from>
    <xdr:to>
      <xdr:col>12</xdr:col>
      <xdr:colOff>328132</xdr:colOff>
      <xdr:row>616</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79" name="Ink 78">
              <a:extLst>
                <a:ext uri="{FF2B5EF4-FFF2-40B4-BE49-F238E27FC236}">
                  <a16:creationId xmlns:a16="http://schemas.microsoft.com/office/drawing/2014/main" id="{5F636BB8-9FB6-4CDC-B89E-E44A2681C593}"/>
                </a:ext>
              </a:extLst>
            </xdr14:cNvPr>
            <xdr14:cNvContentPartPr/>
          </xdr14:nvContentPartPr>
          <xdr14:nvPr macro=""/>
          <xdr14:xfrm>
            <a:off x="7624782" y="96971477"/>
            <a:ext cx="180" cy="180"/>
          </xdr14:xfrm>
        </xdr:contentPart>
      </mc:Choice>
      <mc:Fallback xmlns="">
        <xdr:pic>
          <xdr:nvPicPr>
            <xdr:cNvPr id="79" name="Ink 78">
              <a:extLst>
                <a:ext uri="{FF2B5EF4-FFF2-40B4-BE49-F238E27FC236}">
                  <a16:creationId xmlns:a16="http://schemas.microsoft.com/office/drawing/2014/main" id="{5F636BB8-9FB6-4CDC-B89E-E44A2681C593}"/>
                </a:ext>
              </a:extLst>
            </xdr:cNvPr>
            <xdr:cNvPicPr/>
          </xdr:nvPicPr>
          <xdr:blipFill/>
          <xdr:spPr/>
        </xdr:pic>
      </mc:Fallback>
    </mc:AlternateContent>
    <xdr:clientData/>
  </xdr:twoCellAnchor>
  <xdr:twoCellAnchor>
    <xdr:from>
      <xdr:col>17</xdr:col>
      <xdr:colOff>327952</xdr:colOff>
      <xdr:row>640</xdr:row>
      <xdr:rowOff>84367</xdr:rowOff>
    </xdr:from>
    <xdr:to>
      <xdr:col>17</xdr:col>
      <xdr:colOff>328132</xdr:colOff>
      <xdr:row>640</xdr:row>
      <xdr:rowOff>84547</xdr:rowOff>
    </xdr:to>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80" name="Ink 79">
              <a:extLst>
                <a:ext uri="{FF2B5EF4-FFF2-40B4-BE49-F238E27FC236}">
                  <a16:creationId xmlns:a16="http://schemas.microsoft.com/office/drawing/2014/main" id="{6F13FFE7-84FA-47B9-B1FC-B5748FFC2DEB}"/>
                </a:ext>
              </a:extLst>
            </xdr14:cNvPr>
            <xdr14:cNvContentPartPr/>
          </xdr14:nvContentPartPr>
          <xdr14:nvPr macro=""/>
          <xdr14:xfrm>
            <a:off x="10686390" y="101087638"/>
            <a:ext cx="180" cy="180"/>
          </xdr14:xfrm>
        </xdr:contentPart>
      </mc:Choice>
      <mc:Fallback xmlns="">
        <xdr:pic>
          <xdr:nvPicPr>
            <xdr:cNvPr id="80" name="Ink 79">
              <a:extLst>
                <a:ext uri="{FF2B5EF4-FFF2-40B4-BE49-F238E27FC236}">
                  <a16:creationId xmlns:a16="http://schemas.microsoft.com/office/drawing/2014/main" id="{6F13FFE7-84FA-47B9-B1FC-B5748FFC2DEB}"/>
                </a:ext>
              </a:extLst>
            </xdr:cNvPr>
            <xdr:cNvPicPr/>
          </xdr:nvPicPr>
          <xdr:blipFill/>
          <xdr:spPr/>
        </xdr:pic>
      </mc:Fallback>
    </mc:AlternateContent>
    <xdr:clientData/>
  </xdr:twoCellAnchor>
  <xdr:twoCellAnchor>
    <xdr:from>
      <xdr:col>0</xdr:col>
      <xdr:colOff>-7283520</xdr:colOff>
      <xdr:row>0</xdr:row>
      <xdr:rowOff>142200</xdr:rowOff>
    </xdr:from>
    <xdr:to>
      <xdr:col>0</xdr:col>
      <xdr:colOff>-7283340</xdr:colOff>
      <xdr:row>0</xdr:row>
      <xdr:rowOff>142380</xdr:rowOff>
    </xdr:to>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82" name="Ink 81">
              <a:extLst>
                <a:ext uri="{FF2B5EF4-FFF2-40B4-BE49-F238E27FC236}">
                  <a16:creationId xmlns:a16="http://schemas.microsoft.com/office/drawing/2014/main" id="{BAC33FC3-2375-4256-A758-1D0AB3AF2637}"/>
                </a:ext>
              </a:extLst>
            </xdr14:cNvPr>
            <xdr14:cNvContentPartPr/>
          </xdr14:nvContentPartPr>
          <xdr14:nvPr macro=""/>
          <xdr14:xfrm>
            <a:off x="-7283520" y="142200"/>
            <a:ext cx="180" cy="180"/>
          </xdr14:xfrm>
        </xdr:contentPart>
      </mc:Choice>
      <mc:Fallback xmlns="">
        <xdr:pic>
          <xdr:nvPicPr>
            <xdr:cNvPr id="82" name="Ink 81">
              <a:extLst>
                <a:ext uri="{FF2B5EF4-FFF2-40B4-BE49-F238E27FC236}">
                  <a16:creationId xmlns:a16="http://schemas.microsoft.com/office/drawing/2014/main" id="{BAC33FC3-2375-4256-A758-1D0AB3AF2637}"/>
                </a:ext>
              </a:extLst>
            </xdr:cNvPr>
            <xdr:cNvPicPr/>
          </xdr:nvPicPr>
          <xdr:blipFill/>
          <xdr:spPr/>
        </xdr:pic>
      </mc:Fallback>
    </mc:AlternateContent>
    <xdr:clientData/>
  </xdr:twoCellAnchor>
  <xdr:twoCellAnchor>
    <xdr:from>
      <xdr:col>7</xdr:col>
      <xdr:colOff>224130</xdr:colOff>
      <xdr:row>129</xdr:row>
      <xdr:rowOff>57067</xdr:rowOff>
    </xdr:from>
    <xdr:to>
      <xdr:col>7</xdr:col>
      <xdr:colOff>224310</xdr:colOff>
      <xdr:row>129</xdr:row>
      <xdr:rowOff>57247</xdr:rowOff>
    </xdr:to>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32" name="Ink 131">
              <a:extLst>
                <a:ext uri="{FF2B5EF4-FFF2-40B4-BE49-F238E27FC236}">
                  <a16:creationId xmlns:a16="http://schemas.microsoft.com/office/drawing/2014/main" id="{48733485-3A78-4E85-AA31-16F08CC3599B}"/>
                </a:ext>
              </a:extLst>
            </xdr14:cNvPr>
            <xdr14:cNvContentPartPr/>
          </xdr14:nvContentPartPr>
          <xdr14:nvPr macro=""/>
          <xdr14:xfrm>
            <a:off x="9387180" y="16692480"/>
            <a:ext cx="180" cy="180"/>
          </xdr14:xfrm>
        </xdr:contentPart>
      </mc:Choice>
      <mc:Fallback xmlns="">
        <xdr:pic>
          <xdr:nvPicPr>
            <xdr:cNvPr id="94" name="Ink 93">
              <a:extLst>
                <a:ext uri="{FF2B5EF4-FFF2-40B4-BE49-F238E27FC236}">
                  <a16:creationId xmlns:a16="http://schemas.microsoft.com/office/drawing/2014/main" id="{60D8912B-C76E-4EC0-9F59-2245976CDCEF}"/>
                </a:ext>
              </a:extLst>
            </xdr:cNvPr>
            <xdr:cNvPicPr/>
          </xdr:nvPicPr>
          <xdr:blipFill/>
          <xdr:spPr/>
        </xdr:pic>
      </mc:Fallback>
    </mc:AlternateContent>
    <xdr:clientData/>
  </xdr:twoCellAnchor>
  <xdr:twoCellAnchor>
    <xdr:from>
      <xdr:col>12</xdr:col>
      <xdr:colOff>21261</xdr:colOff>
      <xdr:row>71</xdr:row>
      <xdr:rowOff>4763</xdr:rowOff>
    </xdr:from>
    <xdr:to>
      <xdr:col>18</xdr:col>
      <xdr:colOff>849</xdr:colOff>
      <xdr:row>83</xdr:row>
      <xdr:rowOff>80792</xdr:rowOff>
    </xdr:to>
    <xdr:graphicFrame macro="">
      <xdr:nvGraphicFramePr>
        <xdr:cNvPr id="128" name="Chart 127">
          <a:extLst>
            <a:ext uri="{FF2B5EF4-FFF2-40B4-BE49-F238E27FC236}">
              <a16:creationId xmlns:a16="http://schemas.microsoft.com/office/drawing/2014/main" id="{66EAAC54-AD48-443D-A71F-FFFE10690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xdr:col>
      <xdr:colOff>562800</xdr:colOff>
      <xdr:row>17</xdr:row>
      <xdr:rowOff>40027</xdr:rowOff>
    </xdr:from>
    <xdr:to>
      <xdr:col>12</xdr:col>
      <xdr:colOff>562980</xdr:colOff>
      <xdr:row>17</xdr:row>
      <xdr:rowOff>40207</xdr:rowOff>
    </xdr:to>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42" name="Ink 141">
              <a:extLst>
                <a:ext uri="{FF2B5EF4-FFF2-40B4-BE49-F238E27FC236}">
                  <a16:creationId xmlns:a16="http://schemas.microsoft.com/office/drawing/2014/main" id="{5C3CA320-A7B0-4C47-850E-4F14B5F1E5D1}"/>
                </a:ext>
              </a:extLst>
            </xdr14:cNvPr>
            <xdr14:cNvContentPartPr/>
          </xdr14:nvContentPartPr>
          <xdr14:nvPr macro=""/>
          <xdr14:xfrm>
            <a:off x="6696900" y="2311740"/>
            <a:ext cx="180" cy="180"/>
          </xdr14:xfrm>
        </xdr:contentPart>
      </mc:Choice>
      <mc:Fallback xmlns="">
        <xdr:pic>
          <xdr:nvPicPr>
            <xdr:cNvPr id="10" name="Ink 9">
              <a:extLst>
                <a:ext uri="{FF2B5EF4-FFF2-40B4-BE49-F238E27FC236}">
                  <a16:creationId xmlns:a16="http://schemas.microsoft.com/office/drawing/2014/main" id="{FCE91F2D-9C58-46FA-A726-6972953FCFAA}"/>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43" name="Ink 142">
              <a:extLst>
                <a:ext uri="{FF2B5EF4-FFF2-40B4-BE49-F238E27FC236}">
                  <a16:creationId xmlns:a16="http://schemas.microsoft.com/office/drawing/2014/main" id="{D2759BD4-909C-4FC8-AAFD-F3C4DDD4B6AE}"/>
                </a:ext>
              </a:extLst>
            </xdr14:cNvPr>
            <xdr14:cNvContentPartPr/>
          </xdr14:nvContentPartPr>
          <xdr14:nvPr macro=""/>
          <xdr14:xfrm>
            <a:off x="4799340" y="2845260"/>
            <a:ext cx="180" cy="180"/>
          </xdr14:xfrm>
        </xdr:contentPart>
      </mc:Choice>
      <mc:Fallback xmlns="">
        <xdr:pic>
          <xdr:nvPicPr>
            <xdr:cNvPr id="24" name="Ink 23">
              <a:extLst>
                <a:ext uri="{FF2B5EF4-FFF2-40B4-BE49-F238E27FC236}">
                  <a16:creationId xmlns:a16="http://schemas.microsoft.com/office/drawing/2014/main" id="{3E1B0660-07E3-4675-8B11-8D7F8D2F1471}"/>
                </a:ext>
              </a:extLst>
            </xdr:cNvPr>
            <xdr:cNvPicPr/>
          </xdr:nvPicPr>
          <xdr:blipFill/>
          <xdr:spPr/>
        </xdr:pic>
      </mc:Fallback>
    </mc:AlternateContent>
    <xdr:clientData/>
  </xdr:twoCellAnchor>
  <xdr:twoCellAnchor>
    <xdr:from>
      <xdr:col>11</xdr:col>
      <xdr:colOff>236865</xdr:colOff>
      <xdr:row>20</xdr:row>
      <xdr:rowOff>87772</xdr:rowOff>
    </xdr:from>
    <xdr:to>
      <xdr:col>11</xdr:col>
      <xdr:colOff>237045</xdr:colOff>
      <xdr:row>20</xdr:row>
      <xdr:rowOff>87952</xdr:rowOff>
    </xdr:to>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44" name="Ink 143">
              <a:extLst>
                <a:ext uri="{FF2B5EF4-FFF2-40B4-BE49-F238E27FC236}">
                  <a16:creationId xmlns:a16="http://schemas.microsoft.com/office/drawing/2014/main" id="{9ECD5B33-B35D-4F2D-97CF-D015A8B31A8D}"/>
                </a:ext>
              </a:extLst>
            </xdr14:cNvPr>
            <xdr14:cNvContentPartPr/>
          </xdr14:nvContentPartPr>
          <xdr14:nvPr macro=""/>
          <xdr14:xfrm>
            <a:off x="4799340" y="2845260"/>
            <a:ext cx="180" cy="180"/>
          </xdr14:xfrm>
        </xdr:contentPart>
      </mc:Choice>
      <mc:Fallback xmlns="">
        <xdr:pic>
          <xdr:nvPicPr>
            <xdr:cNvPr id="31" name="Ink 30">
              <a:extLst>
                <a:ext uri="{FF2B5EF4-FFF2-40B4-BE49-F238E27FC236}">
                  <a16:creationId xmlns:a16="http://schemas.microsoft.com/office/drawing/2014/main" id="{C9714641-6A9F-4628-B77B-28AA2106A68A}"/>
                </a:ext>
              </a:extLst>
            </xdr:cNvPr>
            <xdr:cNvPicPr/>
          </xdr:nvPicPr>
          <xdr:blipFill/>
          <xdr:spPr/>
        </xdr:pic>
      </mc:Fallback>
    </mc:AlternateContent>
    <xdr:clientData/>
  </xdr:twoCellAnchor>
  <xdr:twoCellAnchor>
    <xdr:from>
      <xdr:col>11</xdr:col>
      <xdr:colOff>274845</xdr:colOff>
      <xdr:row>20</xdr:row>
      <xdr:rowOff>103072</xdr:rowOff>
    </xdr:from>
    <xdr:to>
      <xdr:col>11</xdr:col>
      <xdr:colOff>427485</xdr:colOff>
      <xdr:row>20</xdr:row>
      <xdr:rowOff>110812</xdr:rowOff>
    </xdr:to>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45" name="Ink 144">
              <a:extLst>
                <a:ext uri="{FF2B5EF4-FFF2-40B4-BE49-F238E27FC236}">
                  <a16:creationId xmlns:a16="http://schemas.microsoft.com/office/drawing/2014/main" id="{129586FA-4823-450E-AEEE-CE0A702D7A8D}"/>
                </a:ext>
              </a:extLst>
            </xdr14:cNvPr>
            <xdr14:cNvContentPartPr/>
          </xdr14:nvContentPartPr>
          <xdr14:nvPr macro=""/>
          <xdr14:xfrm>
            <a:off x="4837320" y="2860560"/>
            <a:ext cx="152640" cy="7740"/>
          </xdr14:xfrm>
        </xdr:contentPart>
      </mc:Choice>
      <mc:Fallback xmlns="">
        <xdr:pic>
          <xdr:nvPicPr>
            <xdr:cNvPr id="35" name="Ink 34">
              <a:extLst>
                <a:ext uri="{FF2B5EF4-FFF2-40B4-BE49-F238E27FC236}">
                  <a16:creationId xmlns:a16="http://schemas.microsoft.com/office/drawing/2014/main" id="{6D4B7176-E27F-4FDC-92B9-4A98C7FB9FF1}"/>
                </a:ext>
              </a:extLst>
            </xdr:cNvPr>
            <xdr:cNvPicPr/>
          </xdr:nvPicPr>
          <xdr:blipFill/>
          <xdr:spPr/>
        </xdr:pic>
      </mc:Fallback>
    </mc:AlternateContent>
    <xdr:clientData/>
  </xdr:twoCellAnchor>
  <xdr:twoCellAnchor>
    <xdr:from>
      <xdr:col>11</xdr:col>
      <xdr:colOff>427305</xdr:colOff>
      <xdr:row>20</xdr:row>
      <xdr:rowOff>110812</xdr:rowOff>
    </xdr:from>
    <xdr:to>
      <xdr:col>11</xdr:col>
      <xdr:colOff>427665</xdr:colOff>
      <xdr:row>20</xdr:row>
      <xdr:rowOff>111172</xdr:rowOff>
    </xdr:to>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49" name="Ink 148">
              <a:extLst>
                <a:ext uri="{FF2B5EF4-FFF2-40B4-BE49-F238E27FC236}">
                  <a16:creationId xmlns:a16="http://schemas.microsoft.com/office/drawing/2014/main" id="{ED5D275E-0DEC-47FB-BAA8-05D4C2B89DA1}"/>
                </a:ext>
              </a:extLst>
            </xdr14:cNvPr>
            <xdr14:cNvContentPartPr/>
          </xdr14:nvContentPartPr>
          <xdr14:nvPr macro=""/>
          <xdr14:xfrm>
            <a:off x="4989780" y="2868300"/>
            <a:ext cx="360" cy="360"/>
          </xdr14:xfrm>
        </xdr:contentPart>
      </mc:Choice>
      <mc:Fallback xmlns="">
        <xdr:pic>
          <xdr:nvPicPr>
            <xdr:cNvPr id="45" name="Ink 44">
              <a:extLst>
                <a:ext uri="{FF2B5EF4-FFF2-40B4-BE49-F238E27FC236}">
                  <a16:creationId xmlns:a16="http://schemas.microsoft.com/office/drawing/2014/main" id="{08DD70B3-11F7-4ADC-BAF6-386A9271140C}"/>
                </a:ext>
              </a:extLst>
            </xdr:cNvPr>
            <xdr:cNvPicPr/>
          </xdr:nvPicPr>
          <xdr:blipFill/>
          <xdr:spPr/>
        </xdr:pic>
      </mc:Fallback>
    </mc:AlternateContent>
    <xdr:clientData/>
  </xdr:twoCellAnchor>
  <xdr:twoCellAnchor>
    <xdr:from>
      <xdr:col>14</xdr:col>
      <xdr:colOff>20055</xdr:colOff>
      <xdr:row>74</xdr:row>
      <xdr:rowOff>2287</xdr:rowOff>
    </xdr:from>
    <xdr:to>
      <xdr:col>14</xdr:col>
      <xdr:colOff>20235</xdr:colOff>
      <xdr:row>74</xdr:row>
      <xdr:rowOff>2467</xdr:rowOff>
    </xdr:to>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0" name="Ink 149">
              <a:extLst>
                <a:ext uri="{FF2B5EF4-FFF2-40B4-BE49-F238E27FC236}">
                  <a16:creationId xmlns:a16="http://schemas.microsoft.com/office/drawing/2014/main" id="{AA0982CD-4CF7-4918-9292-2E5EB0875E55}"/>
                </a:ext>
              </a:extLst>
            </xdr14:cNvPr>
            <xdr14:cNvContentPartPr/>
          </xdr14:nvContentPartPr>
          <xdr14:nvPr macro=""/>
          <xdr14:xfrm>
            <a:off x="7725780" y="3912300"/>
            <a:ext cx="180" cy="180"/>
          </xdr14:xfrm>
        </xdr:contentPart>
      </mc:Choice>
      <mc:Fallback xmlns="">
        <xdr:pic>
          <xdr:nvPicPr>
            <xdr:cNvPr id="52" name="Ink 51">
              <a:extLst>
                <a:ext uri="{FF2B5EF4-FFF2-40B4-BE49-F238E27FC236}">
                  <a16:creationId xmlns:a16="http://schemas.microsoft.com/office/drawing/2014/main" id="{67484F94-6296-4EB9-BC20-73137587B9B8}"/>
                </a:ext>
              </a:extLst>
            </xdr:cNvPr>
            <xdr:cNvPicPr/>
          </xdr:nvPicPr>
          <xdr:blipFill/>
          <xdr:spPr/>
        </xdr:pic>
      </mc:Fallback>
    </mc:AlternateContent>
    <xdr:clientData/>
  </xdr:twoCellAnchor>
  <xdr:twoCellAnchor>
    <xdr:from>
      <xdr:col>10</xdr:col>
      <xdr:colOff>776932</xdr:colOff>
      <xdr:row>19</xdr:row>
      <xdr:rowOff>120277</xdr:rowOff>
    </xdr:from>
    <xdr:to>
      <xdr:col>10</xdr:col>
      <xdr:colOff>777112</xdr:colOff>
      <xdr:row>19</xdr:row>
      <xdr:rowOff>120457</xdr:rowOff>
    </xdr:to>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3" name="Ink 152">
              <a:extLst>
                <a:ext uri="{FF2B5EF4-FFF2-40B4-BE49-F238E27FC236}">
                  <a16:creationId xmlns:a16="http://schemas.microsoft.com/office/drawing/2014/main" id="{4BB943DD-332A-4A13-96C5-E7187AB5D0E5}"/>
                </a:ext>
              </a:extLst>
            </xdr14:cNvPr>
            <xdr14:cNvContentPartPr/>
          </xdr14:nvContentPartPr>
          <xdr14:nvPr macro=""/>
          <xdr14:xfrm>
            <a:off x="5210820" y="2715840"/>
            <a:ext cx="180" cy="180"/>
          </xdr14:xfrm>
        </xdr:contentPart>
      </mc:Choice>
      <mc:Fallback xmlns="">
        <xdr:pic>
          <xdr:nvPicPr>
            <xdr:cNvPr id="9" name="Ink 8">
              <a:extLst>
                <a:ext uri="{FF2B5EF4-FFF2-40B4-BE49-F238E27FC236}">
                  <a16:creationId xmlns:a16="http://schemas.microsoft.com/office/drawing/2014/main" id="{D5DB12CA-B042-4FA6-B428-2E4F4A670F03}"/>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4" name="Ink 153">
              <a:extLst>
                <a:ext uri="{FF2B5EF4-FFF2-40B4-BE49-F238E27FC236}">
                  <a16:creationId xmlns:a16="http://schemas.microsoft.com/office/drawing/2014/main" id="{F4A1D75C-0E16-4BD4-8E45-1BB0CC639427}"/>
                </a:ext>
              </a:extLst>
            </xdr14:cNvPr>
            <xdr14:cNvContentPartPr/>
          </xdr14:nvContentPartPr>
          <xdr14:nvPr macro=""/>
          <xdr14:xfrm>
            <a:off x="5195520" y="2715840"/>
            <a:ext cx="360" cy="360"/>
          </xdr14:xfrm>
        </xdr:contentPart>
      </mc:Choice>
      <mc:Fallback xmlns="">
        <xdr:pic>
          <xdr:nvPicPr>
            <xdr:cNvPr id="13" name="Ink 12">
              <a:extLst>
                <a:ext uri="{FF2B5EF4-FFF2-40B4-BE49-F238E27FC236}">
                  <a16:creationId xmlns:a16="http://schemas.microsoft.com/office/drawing/2014/main" id="{7ACE90E3-A610-4758-A9EC-BA5AA5942B0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5" name="Ink 154">
              <a:extLst>
                <a:ext uri="{FF2B5EF4-FFF2-40B4-BE49-F238E27FC236}">
                  <a16:creationId xmlns:a16="http://schemas.microsoft.com/office/drawing/2014/main" id="{5420F2B6-45DB-47B4-8CBC-3A05EC3CC98C}"/>
                </a:ext>
              </a:extLst>
            </xdr14:cNvPr>
            <xdr14:cNvContentPartPr/>
          </xdr14:nvContentPartPr>
          <xdr14:nvPr macro=""/>
          <xdr14:xfrm>
            <a:off x="5195520" y="2715840"/>
            <a:ext cx="360" cy="360"/>
          </xdr14:xfrm>
        </xdr:contentPart>
      </mc:Choice>
      <mc:Fallback xmlns="">
        <xdr:pic>
          <xdr:nvPicPr>
            <xdr:cNvPr id="16" name="Ink 15">
              <a:extLst>
                <a:ext uri="{FF2B5EF4-FFF2-40B4-BE49-F238E27FC236}">
                  <a16:creationId xmlns:a16="http://schemas.microsoft.com/office/drawing/2014/main" id="{433B03B0-DE66-4500-A8B7-4859F84A94DB}"/>
                </a:ext>
              </a:extLst>
            </xdr:cNvPr>
            <xdr:cNvPicPr/>
          </xdr:nvPicPr>
          <xdr:blipFill/>
          <xdr:spPr/>
        </xdr:pic>
      </mc:Fallback>
    </mc:AlternateContent>
    <xdr:clientData/>
  </xdr:twoCellAnchor>
  <xdr:twoCellAnchor>
    <xdr:from>
      <xdr:col>11</xdr:col>
      <xdr:colOff>761632</xdr:colOff>
      <xdr:row>19</xdr:row>
      <xdr:rowOff>120277</xdr:rowOff>
    </xdr:from>
    <xdr:to>
      <xdr:col>11</xdr:col>
      <xdr:colOff>761992</xdr:colOff>
      <xdr:row>19</xdr:row>
      <xdr:rowOff>120637</xdr:rowOff>
    </xdr:to>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57" name="Ink 156">
              <a:extLst>
                <a:ext uri="{FF2B5EF4-FFF2-40B4-BE49-F238E27FC236}">
                  <a16:creationId xmlns:a16="http://schemas.microsoft.com/office/drawing/2014/main" id="{BC9C53F4-72D2-4254-947C-18C7DE401524}"/>
                </a:ext>
              </a:extLst>
            </xdr14:cNvPr>
            <xdr14:cNvContentPartPr/>
          </xdr14:nvContentPartPr>
          <xdr14:nvPr macro=""/>
          <xdr14:xfrm>
            <a:off x="5195520" y="2715840"/>
            <a:ext cx="360" cy="360"/>
          </xdr14:xfrm>
        </xdr:contentPart>
      </mc:Choice>
      <mc:Fallback xmlns="">
        <xdr:pic>
          <xdr:nvPicPr>
            <xdr:cNvPr id="21" name="Ink 20">
              <a:extLst>
                <a:ext uri="{FF2B5EF4-FFF2-40B4-BE49-F238E27FC236}">
                  <a16:creationId xmlns:a16="http://schemas.microsoft.com/office/drawing/2014/main" id="{0F04A798-0868-48E3-8164-DFAC75680836}"/>
                </a:ext>
              </a:extLst>
            </xdr:cNvPr>
            <xdr:cNvPicPr/>
          </xdr:nvPicPr>
          <xdr:blipFill/>
          <xdr:spPr/>
        </xdr:pic>
      </mc:Fallback>
    </mc:AlternateContent>
    <xdr:clientData/>
  </xdr:twoCellAnchor>
  <xdr:twoCellAnchor>
    <xdr:from>
      <xdr:col>2</xdr:col>
      <xdr:colOff>3571</xdr:colOff>
      <xdr:row>71</xdr:row>
      <xdr:rowOff>46605</xdr:rowOff>
    </xdr:from>
    <xdr:to>
      <xdr:col>7</xdr:col>
      <xdr:colOff>591228</xdr:colOff>
      <xdr:row>83</xdr:row>
      <xdr:rowOff>122634</xdr:rowOff>
    </xdr:to>
    <xdr:graphicFrame macro="">
      <xdr:nvGraphicFramePr>
        <xdr:cNvPr id="136" name="Chart 135">
          <a:extLst>
            <a:ext uri="{FF2B5EF4-FFF2-40B4-BE49-F238E27FC236}">
              <a16:creationId xmlns:a16="http://schemas.microsoft.com/office/drawing/2014/main" id="{76D8EC45-BF2D-4DD9-A416-2F5900FF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3</xdr:col>
      <xdr:colOff>34018</xdr:colOff>
      <xdr:row>75</xdr:row>
      <xdr:rowOff>68035</xdr:rowOff>
    </xdr:from>
    <xdr:to>
      <xdr:col>3</xdr:col>
      <xdr:colOff>212612</xdr:colOff>
      <xdr:row>76</xdr:row>
      <xdr:rowOff>76539</xdr:rowOff>
    </xdr:to>
    <xdr:cxnSp macro="">
      <xdr:nvCxnSpPr>
        <xdr:cNvPr id="30" name="Straight Arrow Connector 29">
          <a:extLst>
            <a:ext uri="{FF2B5EF4-FFF2-40B4-BE49-F238E27FC236}">
              <a16:creationId xmlns:a16="http://schemas.microsoft.com/office/drawing/2014/main" id="{6DCA1A7C-D207-4C1D-9181-6E5089D75F92}"/>
            </a:ext>
          </a:extLst>
        </xdr:cNvPr>
        <xdr:cNvCxnSpPr/>
      </xdr:nvCxnSpPr>
      <xdr:spPr>
        <a:xfrm>
          <a:off x="2151630" y="2168638"/>
          <a:ext cx="178594" cy="170089"/>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4</xdr:col>
      <xdr:colOff>250201</xdr:colOff>
      <xdr:row>75</xdr:row>
      <xdr:rowOff>67354</xdr:rowOff>
    </xdr:from>
    <xdr:to>
      <xdr:col>4</xdr:col>
      <xdr:colOff>428796</xdr:colOff>
      <xdr:row>76</xdr:row>
      <xdr:rowOff>75858</xdr:rowOff>
    </xdr:to>
    <xdr:cxnSp macro="">
      <xdr:nvCxnSpPr>
        <xdr:cNvPr id="159" name="Straight Arrow Connector 158">
          <a:extLst>
            <a:ext uri="{FF2B5EF4-FFF2-40B4-BE49-F238E27FC236}">
              <a16:creationId xmlns:a16="http://schemas.microsoft.com/office/drawing/2014/main" id="{C20F08EF-5261-4326-8B36-38DB8FE23484}"/>
            </a:ext>
          </a:extLst>
        </xdr:cNvPr>
        <xdr:cNvCxnSpPr/>
      </xdr:nvCxnSpPr>
      <xdr:spPr>
        <a:xfrm>
          <a:off x="3154476" y="2167957"/>
          <a:ext cx="178595" cy="170089"/>
        </a:xfrm>
        <a:prstGeom prst="straightConnector1">
          <a:avLst/>
        </a:prstGeom>
        <a:ln>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6</xdr:col>
      <xdr:colOff>89295</xdr:colOff>
      <xdr:row>71</xdr:row>
      <xdr:rowOff>119064</xdr:rowOff>
    </xdr:from>
    <xdr:to>
      <xdr:col>7</xdr:col>
      <xdr:colOff>110557</xdr:colOff>
      <xdr:row>73</xdr:row>
      <xdr:rowOff>38271</xdr:rowOff>
    </xdr:to>
    <xdr:sp macro="" textlink="">
      <xdr:nvSpPr>
        <xdr:cNvPr id="34" name="TextBox 33">
          <a:extLst>
            <a:ext uri="{FF2B5EF4-FFF2-40B4-BE49-F238E27FC236}">
              <a16:creationId xmlns:a16="http://schemas.microsoft.com/office/drawing/2014/main" id="{A088A528-4993-4BE8-B89A-5E37FC23A315}"/>
            </a:ext>
          </a:extLst>
        </xdr:cNvPr>
        <xdr:cNvSpPr txBox="1"/>
      </xdr:nvSpPr>
      <xdr:spPr>
        <a:xfrm>
          <a:off x="4341527" y="1573327"/>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6</xdr:col>
      <xdr:colOff>131818</xdr:colOff>
      <xdr:row>72</xdr:row>
      <xdr:rowOff>4253</xdr:rowOff>
    </xdr:from>
    <xdr:to>
      <xdr:col>6</xdr:col>
      <xdr:colOff>131820</xdr:colOff>
      <xdr:row>73</xdr:row>
      <xdr:rowOff>76540</xdr:rowOff>
    </xdr:to>
    <xdr:cxnSp macro="">
      <xdr:nvCxnSpPr>
        <xdr:cNvPr id="40" name="Straight Connector 39">
          <a:extLst>
            <a:ext uri="{FF2B5EF4-FFF2-40B4-BE49-F238E27FC236}">
              <a16:creationId xmlns:a16="http://schemas.microsoft.com/office/drawing/2014/main" id="{CB1433DC-77E9-4CEF-9D7D-9A0ED9E1E019}"/>
            </a:ext>
          </a:extLst>
        </xdr:cNvPr>
        <xdr:cNvCxnSpPr/>
      </xdr:nvCxnSpPr>
      <xdr:spPr>
        <a:xfrm flipV="1">
          <a:off x="4456339" y="1620101"/>
          <a:ext cx="2" cy="2338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126884</xdr:colOff>
      <xdr:row>71</xdr:row>
      <xdr:rowOff>135392</xdr:rowOff>
    </xdr:from>
    <xdr:to>
      <xdr:col>17</xdr:col>
      <xdr:colOff>262957</xdr:colOff>
      <xdr:row>73</xdr:row>
      <xdr:rowOff>54599</xdr:rowOff>
    </xdr:to>
    <xdr:sp macro="" textlink="">
      <xdr:nvSpPr>
        <xdr:cNvPr id="160" name="TextBox 159">
          <a:extLst>
            <a:ext uri="{FF2B5EF4-FFF2-40B4-BE49-F238E27FC236}">
              <a16:creationId xmlns:a16="http://schemas.microsoft.com/office/drawing/2014/main" id="{3DC8B6AD-7438-4E80-BFF6-BBD32E6CE42B}"/>
            </a:ext>
          </a:extLst>
        </xdr:cNvPr>
        <xdr:cNvSpPr txBox="1"/>
      </xdr:nvSpPr>
      <xdr:spPr>
        <a:xfrm>
          <a:off x="10872275" y="1589655"/>
          <a:ext cx="744142" cy="242377"/>
        </a:xfrm>
        <a:prstGeom prst="rect">
          <a:avLst/>
        </a:prstGeom>
        <a:solidFill>
          <a:schemeClr val="bg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latin typeface="+mn-lt"/>
              <a:ea typeface="+mn-ea"/>
              <a:cs typeface="+mn-cs"/>
            </a:rPr>
            <a:t>Caltex</a:t>
          </a:r>
        </a:p>
      </xdr:txBody>
    </xdr:sp>
    <xdr:clientData/>
  </xdr:twoCellAnchor>
  <xdr:twoCellAnchor>
    <xdr:from>
      <xdr:col>16</xdr:col>
      <xdr:colOff>182166</xdr:colOff>
      <xdr:row>72</xdr:row>
      <xdr:rowOff>20581</xdr:rowOff>
    </xdr:from>
    <xdr:to>
      <xdr:col>16</xdr:col>
      <xdr:colOff>186418</xdr:colOff>
      <xdr:row>73</xdr:row>
      <xdr:rowOff>48221</xdr:rowOff>
    </xdr:to>
    <xdr:cxnSp macro="">
      <xdr:nvCxnSpPr>
        <xdr:cNvPr id="162" name="Straight Connector 161">
          <a:extLst>
            <a:ext uri="{FF2B5EF4-FFF2-40B4-BE49-F238E27FC236}">
              <a16:creationId xmlns:a16="http://schemas.microsoft.com/office/drawing/2014/main" id="{6024C046-A4A0-47EC-801A-0B070365F61A}"/>
            </a:ext>
          </a:extLst>
        </xdr:cNvPr>
        <xdr:cNvCxnSpPr/>
      </xdr:nvCxnSpPr>
      <xdr:spPr>
        <a:xfrm flipH="1" flipV="1">
          <a:off x="10927557" y="1636429"/>
          <a:ext cx="4252" cy="189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14</xdr:col>
      <xdr:colOff>484755</xdr:colOff>
      <xdr:row>78</xdr:row>
      <xdr:rowOff>59531</xdr:rowOff>
    </xdr:from>
    <xdr:ext cx="450736" cy="340179"/>
    <xdr:sp macro="" textlink="">
      <xdr:nvSpPr>
        <xdr:cNvPr id="4" name="TextBox 3">
          <a:extLst>
            <a:ext uri="{FF2B5EF4-FFF2-40B4-BE49-F238E27FC236}">
              <a16:creationId xmlns:a16="http://schemas.microsoft.com/office/drawing/2014/main" id="{44FA2E7F-6556-4EE8-8E1E-386D9085E27F}"/>
            </a:ext>
          </a:extLst>
        </xdr:cNvPr>
        <xdr:cNvSpPr txBox="1"/>
      </xdr:nvSpPr>
      <xdr:spPr>
        <a:xfrm>
          <a:off x="9172066" y="2644888"/>
          <a:ext cx="450736"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a:latin typeface="Arial Narrow" panose="020B0606020202030204" pitchFamily="34" charset="0"/>
            </a:rPr>
            <a:t>Cost of </a:t>
          </a:r>
          <a:r>
            <a:rPr lang="en-NZ" sz="800" b="1">
              <a:latin typeface="Arial Narrow" panose="020B0606020202030204" pitchFamily="34" charset="0"/>
            </a:rPr>
            <a:t>capital</a:t>
          </a:r>
        </a:p>
      </xdr:txBody>
    </xdr:sp>
    <xdr:clientData/>
  </xdr:oneCellAnchor>
  <xdr:oneCellAnchor>
    <xdr:from>
      <xdr:col>4</xdr:col>
      <xdr:colOff>559934</xdr:colOff>
      <xdr:row>78</xdr:row>
      <xdr:rowOff>96441</xdr:rowOff>
    </xdr:from>
    <xdr:ext cx="481861" cy="340179"/>
    <xdr:sp macro="" textlink="">
      <xdr:nvSpPr>
        <xdr:cNvPr id="163" name="TextBox 162">
          <a:extLst>
            <a:ext uri="{FF2B5EF4-FFF2-40B4-BE49-F238E27FC236}">
              <a16:creationId xmlns:a16="http://schemas.microsoft.com/office/drawing/2014/main" id="{80ABAA83-3DE5-42BB-857F-456BC46EEE72}"/>
            </a:ext>
          </a:extLst>
        </xdr:cNvPr>
        <xdr:cNvSpPr txBox="1"/>
      </xdr:nvSpPr>
      <xdr:spPr>
        <a:xfrm>
          <a:off x="3464209" y="2681798"/>
          <a:ext cx="481861" cy="3401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NZ" sz="800" b="1">
              <a:latin typeface="Arial Narrow" panose="020B0606020202030204" pitchFamily="34" charset="0"/>
            </a:rPr>
            <a:t>Cost of capital</a:t>
          </a:r>
        </a:p>
      </xdr:txBody>
    </xdr:sp>
    <xdr:clientData/>
  </xdr:oneCellAnchor>
</xdr:wsDr>
</file>

<file path=xl/drawings/drawing5.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dr:relSizeAnchor xmlns:cdr="http://schemas.openxmlformats.org/drawingml/2006/chartDrawing">
    <cdr:from>
      <cdr:x>0.40869</cdr:x>
      <cdr:y>0.02085</cdr:y>
    </cdr:from>
    <cdr:to>
      <cdr:x>0.49741</cdr:x>
      <cdr:y>0.16223</cdr:y>
    </cdr:to>
    <cdr:sp macro="" textlink="">
      <cdr:nvSpPr>
        <cdr:cNvPr id="5" name="TextBox 4">
          <a:extLst xmlns:a="http://schemas.openxmlformats.org/drawingml/2006/main">
            <a:ext uri="{FF2B5EF4-FFF2-40B4-BE49-F238E27FC236}">
              <a16:creationId xmlns:a16="http://schemas.microsoft.com/office/drawing/2014/main" id="{6AB64ABA-0842-436F-9845-9936285449AC}"/>
            </a:ext>
          </a:extLst>
        </cdr:cNvPr>
        <cdr:cNvSpPr txBox="1"/>
      </cdr:nvSpPr>
      <cdr:spPr>
        <a:xfrm xmlns:a="http://schemas.openxmlformats.org/drawingml/2006/main">
          <a:off x="1743415" y="42012"/>
          <a:ext cx="378449" cy="284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a:t>RC</a:t>
          </a:r>
        </a:p>
      </cdr:txBody>
    </cdr:sp>
  </cdr:relSizeAnchor>
</c:userShapes>
</file>

<file path=xl/drawings/drawing6.xml><?xml version="1.0" encoding="utf-8"?>
<c:userShapes xmlns:c="http://schemas.openxmlformats.org/drawingml/2006/chart">
  <cdr:relSizeAnchor xmlns:cdr="http://schemas.openxmlformats.org/drawingml/2006/chartDrawing">
    <cdr:from>
      <cdr:x>0.67741</cdr:x>
      <cdr:y>0.05499</cdr:y>
    </cdr:from>
    <cdr:to>
      <cdr:x>0.86996</cdr:x>
      <cdr:y>0.15466</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2352389" y="125028"/>
          <a:ext cx="668650" cy="226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rgbClr val="0070C0"/>
              </a:solidFill>
              <a:latin typeface="Arial Narrow" panose="020B0606020202030204" pitchFamily="34" charset="0"/>
            </a:rPr>
            <a:t>Briscoe</a:t>
          </a:r>
          <a:r>
            <a:rPr lang="en-NZ" sz="1100" b="1">
              <a:solidFill>
                <a:schemeClr val="tx2">
                  <a:lumMod val="75000"/>
                </a:schemeClr>
              </a:solidFill>
            </a:rPr>
            <a:t> </a:t>
          </a:r>
        </a:p>
      </cdr:txBody>
    </cdr:sp>
  </cdr:relSizeAnchor>
  <cdr:relSizeAnchor xmlns:cdr="http://schemas.openxmlformats.org/drawingml/2006/chartDrawing">
    <cdr:from>
      <cdr:x>0.50207</cdr:x>
      <cdr:y>0.73488</cdr:y>
    </cdr:from>
    <cdr:to>
      <cdr:x>0.85179</cdr:x>
      <cdr:y>0.83708</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2295467" y="2015918"/>
          <a:ext cx="1598920" cy="28035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FF0000"/>
              </a:solidFill>
            </a:rPr>
            <a:t>The </a:t>
          </a:r>
          <a:r>
            <a:rPr lang="en-NZ" sz="1100" b="1">
              <a:solidFill>
                <a:srgbClr val="FF0000"/>
              </a:solidFill>
              <a:latin typeface="Arial Narrow" panose="020B0606020202030204" pitchFamily="34" charset="0"/>
            </a:rPr>
            <a:t>Warehouse</a:t>
          </a:r>
        </a:p>
      </cdr:txBody>
    </cdr:sp>
  </cdr:relSizeAnchor>
</c:userShapes>
</file>

<file path=xl/drawings/drawing7.xml><?xml version="1.0" encoding="utf-8"?>
<c:userShapes xmlns:c="http://schemas.openxmlformats.org/drawingml/2006/chart">
  <cdr:relSizeAnchor xmlns:cdr="http://schemas.openxmlformats.org/drawingml/2006/chartDrawing">
    <cdr:from>
      <cdr:x>0.78364</cdr:x>
      <cdr:y>0.07061</cdr:y>
    </cdr:from>
    <cdr:to>
      <cdr:x>0.94405</cdr:x>
      <cdr:y>0.1819</cdr:y>
    </cdr:to>
    <cdr:sp macro="" textlink="">
      <cdr:nvSpPr>
        <cdr:cNvPr id="2" name="TextBox 1">
          <a:extLst xmlns:a="http://schemas.openxmlformats.org/drawingml/2006/main">
            <a:ext uri="{FF2B5EF4-FFF2-40B4-BE49-F238E27FC236}">
              <a16:creationId xmlns:a16="http://schemas.microsoft.com/office/drawing/2014/main" id="{88AA2ED7-A4E1-422D-ACC0-5FAFF500181A}"/>
            </a:ext>
          </a:extLst>
        </cdr:cNvPr>
        <cdr:cNvSpPr txBox="1"/>
      </cdr:nvSpPr>
      <cdr:spPr>
        <a:xfrm xmlns:a="http://schemas.openxmlformats.org/drawingml/2006/main">
          <a:off x="3021389" y="160503"/>
          <a:ext cx="618464" cy="2529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NZ" sz="1100" b="1">
              <a:solidFill>
                <a:schemeClr val="tx2">
                  <a:lumMod val="75000"/>
                </a:schemeClr>
              </a:solidFill>
              <a:latin typeface="Arial Narrow" panose="020B0606020202030204" pitchFamily="34" charset="0"/>
            </a:rPr>
            <a:t>Briscoe</a:t>
          </a:r>
        </a:p>
      </cdr:txBody>
    </cdr:sp>
  </cdr:relSizeAnchor>
  <cdr:relSizeAnchor xmlns:cdr="http://schemas.openxmlformats.org/drawingml/2006/chartDrawing">
    <cdr:from>
      <cdr:x>0.46351</cdr:x>
      <cdr:y>0.55214</cdr:y>
    </cdr:from>
    <cdr:to>
      <cdr:x>0.81323</cdr:x>
      <cdr:y>0.69457</cdr:y>
    </cdr:to>
    <cdr:sp macro="" textlink="">
      <cdr:nvSpPr>
        <cdr:cNvPr id="3" name="TextBox 1">
          <a:extLst xmlns:a="http://schemas.openxmlformats.org/drawingml/2006/main">
            <a:ext uri="{FF2B5EF4-FFF2-40B4-BE49-F238E27FC236}">
              <a16:creationId xmlns:a16="http://schemas.microsoft.com/office/drawing/2014/main" id="{37098373-8392-400A-B7CD-F4D07EC66A82}"/>
            </a:ext>
          </a:extLst>
        </cdr:cNvPr>
        <cdr:cNvSpPr txBox="1"/>
      </cdr:nvSpPr>
      <cdr:spPr>
        <a:xfrm xmlns:a="http://schemas.openxmlformats.org/drawingml/2006/main">
          <a:off x="1709194" y="1302432"/>
          <a:ext cx="1289584" cy="3359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NZ" sz="1100" b="1">
              <a:solidFill>
                <a:srgbClr val="E60019"/>
              </a:solidFill>
              <a:latin typeface="Arial Narrow" panose="020B0606020202030204" pitchFamily="34" charset="0"/>
            </a:rPr>
            <a:t>The Warehouse</a:t>
          </a:r>
        </a:p>
      </cdr:txBody>
    </cdr:sp>
  </cdr:relSizeAnchor>
</c:userShapes>
</file>

<file path=xl/drawings/drawing8.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0.67376</cdr:x>
      <cdr:y>0.21217</cdr:y>
    </cdr:from>
    <cdr:to>
      <cdr:x>0.88637</cdr:x>
      <cdr:y>0.31846</cdr:y>
    </cdr:to>
    <cdr:sp macro="" textlink="">
      <cdr:nvSpPr>
        <cdr:cNvPr id="3" name="TextBox 2">
          <a:extLst xmlns:a="http://schemas.openxmlformats.org/drawingml/2006/main">
            <a:ext uri="{FF2B5EF4-FFF2-40B4-BE49-F238E27FC236}">
              <a16:creationId xmlns:a16="http://schemas.microsoft.com/office/drawing/2014/main" id="{1C38736E-6FA5-4833-A3A0-03FF6C2C1323}"/>
            </a:ext>
          </a:extLst>
        </cdr:cNvPr>
        <cdr:cNvSpPr txBox="1"/>
      </cdr:nvSpPr>
      <cdr:spPr>
        <a:xfrm xmlns:a="http://schemas.openxmlformats.org/drawingml/2006/main">
          <a:off x="2478604" y="498156"/>
          <a:ext cx="782132" cy="24956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n-NZ" sz="1100" b="1" baseline="0">
              <a:solidFill>
                <a:srgbClr val="0070C0"/>
              </a:solidFill>
              <a:latin typeface="Arial Narrow" panose="020B0606020202030204" pitchFamily="34" charset="0"/>
            </a:rPr>
            <a:t>Briscoe</a:t>
          </a:r>
          <a:r>
            <a:rPr lang="en-NZ" sz="1100" b="1" baseline="0">
              <a:solidFill>
                <a:srgbClr val="0070C0"/>
              </a:solidFill>
            </a:rPr>
            <a:t> </a:t>
          </a:r>
          <a:endParaRPr lang="en-NZ" sz="11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0.48249</cdr:x>
      <cdr:y>0.25958</cdr:y>
    </cdr:from>
    <cdr:to>
      <cdr:x>0.63516</cdr:x>
      <cdr:y>0.33275</cdr:y>
    </cdr:to>
    <cdr:sp macro="" textlink="">
      <cdr:nvSpPr>
        <cdr:cNvPr id="2" name="TextBox 1">
          <a:extLst xmlns:a="http://schemas.openxmlformats.org/drawingml/2006/main">
            <a:ext uri="{FF2B5EF4-FFF2-40B4-BE49-F238E27FC236}">
              <a16:creationId xmlns:a16="http://schemas.microsoft.com/office/drawing/2014/main" id="{FF70F9FA-0A15-47AB-B129-163856DC885C}"/>
            </a:ext>
          </a:extLst>
        </cdr:cNvPr>
        <cdr:cNvSpPr txBox="1"/>
      </cdr:nvSpPr>
      <cdr:spPr>
        <a:xfrm xmlns:a="http://schemas.openxmlformats.org/drawingml/2006/main">
          <a:off x="3476625" y="709613"/>
          <a:ext cx="1100138"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0.31917</cdr:x>
      <cdr:y>0.30362</cdr:y>
    </cdr:from>
    <cdr:to>
      <cdr:x>0.59338</cdr:x>
      <cdr:y>0.44712</cdr:y>
    </cdr:to>
    <cdr:sp macro="" textlink="">
      <cdr:nvSpPr>
        <cdr:cNvPr id="4" name="TextBox 3">
          <a:extLst xmlns:a="http://schemas.openxmlformats.org/drawingml/2006/main">
            <a:ext uri="{FF2B5EF4-FFF2-40B4-BE49-F238E27FC236}">
              <a16:creationId xmlns:a16="http://schemas.microsoft.com/office/drawing/2014/main" id="{7B47C464-584C-4B2C-96FB-A2075DD69659}"/>
            </a:ext>
          </a:extLst>
        </cdr:cNvPr>
        <cdr:cNvSpPr txBox="1"/>
      </cdr:nvSpPr>
      <cdr:spPr>
        <a:xfrm xmlns:a="http://schemas.openxmlformats.org/drawingml/2006/main">
          <a:off x="1301680" y="611810"/>
          <a:ext cx="1118337" cy="2891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NZ" sz="10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04e80b2b36f6569d/Documents/CONTACT%20Energy%202021/20%20Jan%202021%20Contact%20Energy%20Base%20C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UG only version"/>
      <sheetName val="Control"/>
      <sheetName val="Changes"/>
      <sheetName val="1_Contents"/>
      <sheetName val="2_Inc-Stat"/>
      <sheetName val="3_Inc-Stat-FINMod"/>
      <sheetName val="4_Fin-Stat"/>
      <sheetName val="5_Fin-Stat-FINMod"/>
      <sheetName val="6_Cost of Capital"/>
      <sheetName val="9_Other Data"/>
      <sheetName val="8_Data Notes"/>
      <sheetName val="7_Data Adjust"/>
      <sheetName val="Old 5"/>
      <sheetName val="3_Working IFRS"/>
      <sheetName val="Econ-Perf 1"/>
      <sheetName val="Econ-Perf 2"/>
      <sheetName val="Mark-Expect"/>
      <sheetName val="TSR"/>
      <sheetName val=" 11-BU Perf"/>
      <sheetName val="15-per Store 16-17"/>
      <sheetName val="Archives"/>
      <sheetName val="18 Data for Charts"/>
      <sheetName val="15b-Charts Comp"/>
      <sheetName val="15c-Charts Stores"/>
      <sheetName val="X-Chart Basics"/>
      <sheetName val="2011"/>
      <sheetName val="Old Fin"/>
      <sheetName val="JennyR"/>
      <sheetName val="New Charts"/>
      <sheetName val="xx-WHS Metrics"/>
      <sheetName val="Lease"/>
      <sheetName val="Tables"/>
      <sheetName val="Char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5"/>
    </inkml:context>
    <inkml:brush xml:id="br0">
      <inkml:brushProperty name="width" value="0.05" units="cm"/>
      <inkml:brushProperty name="height" value="0.05" units="cm"/>
      <inkml:brushProperty name="ignorePressure" value="1"/>
    </inkml:brush>
  </inkml:definitions>
  <inkml:trace contextRef="#ctx0" brushRef="#br0">1 26,'116'3,"128"-6,-175-9,-50 7,0 2,28-2,-23 4,261 3,-253 3,0 1,0 1,32 13,-40-12,0 0,1-2,0 0,1-2,49 2,-63-7,1-1,-1 0,16-5,-16 3,0 1,1 1,16-2,61 4,-57 1,0-2,0 0,-1-2,38-9,-3 2,-46 9</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7.375"/>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1730A9BE-533E-4E22-ABBB-3D1582844414}" emma:medium="tactile" emma:mode="ink">
          <msink:context xmlns:msink="http://schemas.microsoft.com/ink/2010/main" type="inkDrawing" rotatedBoundingBox="28382,73183 28397,73183 28397,73198 28382,73198" shapeName="Other"/>
        </emma:interpretation>
      </emma:emma>
    </inkml:annotationXML>
    <inkml:trace contextRef="#ctx0" brushRef="#br0">28384 73183</inkml:trace>
  </inkml:traceGroup>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44:51.917"/>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059A278F-F674-4470-B274-D0A0E43197E8}" emma:medium="tactile" emma:mode="ink">
          <msink:context xmlns:msink="http://schemas.microsoft.com/ink/2010/main" type="inkDrawing"/>
        </emma:interpretation>
      </emma:emma>
    </inkml:annotationXML>
    <inkml:trace contextRef="#ctx0" brushRef="#br0">36449 117549</inkml:trace>
  </inkml:traceGroup>
</inkml:ink>
</file>

<file path=xl/ink/ink12.xml><?xml version="1.0" encoding="utf-8"?>
<inkml:ink xmlns:inkml="http://www.w3.org/2003/InkML">
  <inkml:definitions/>
  <inkml:traceGroup>
    <inkml:annotationXML>
      <emma:emma xmlns:emma="http://www.w3.org/2003/04/emma" version="1.0">
        <emma:interpretation id="{D4BD5055-F229-4292-8428-483284754765}" emma:medium="tactile" emma:mode="ink">
          <msink:context xmlns:msink="http://schemas.microsoft.com/ink/2010/main" type="writingRegion" rotatedBoundingBox="23344,116278 24759,116278 24759,116520 23344,116520"/>
        </emma:interpretation>
      </emma:emma>
    </inkml:annotationXML>
  </inkml:traceGroup>
</inkml:ink>
</file>

<file path=xl/ink/ink13.xml><?xml version="1.0" encoding="utf-8"?>
<inkml:ink xmlns:inkml="http://www.w3.org/2003/InkML">
  <inkml:definitions/>
  <inkml:traceGroup>
    <inkml:annotationXML>
      <emma:emma xmlns:emma="http://www.w3.org/2003/04/emma" version="1.0">
        <emma:interpretation id="{1022B22A-8BFD-43E2-8259-AE4920900585}" emma:medium="tactile" emma:mode="ink">
          <msink:context xmlns:msink="http://schemas.microsoft.com/ink/2010/main" type="inkDrawing" rotatedBoundingBox="24043,116278 24058,116278 24058,116293 24043,116293" shapeName="Other"/>
        </emma:interpretation>
      </emma:emma>
    </inkml:annotationXML>
  </inkml:traceGroup>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3:55.6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9FBF278-87F7-4558-959E-A9A403C6CA70}" emma:medium="tactile" emma:mode="ink">
          <msink:context xmlns:msink="http://schemas.microsoft.com/ink/2010/main" type="inkDrawing"/>
        </emma:interpretation>
      </emma:emma>
    </inkml:annotationXML>
    <inkml:trace contextRef="#ctx0" brushRef="#br0">27092 110156</inkml:trace>
  </inkml:traceGroup>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4.48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8F0679-7E74-404E-8CFB-7583EFC00525}" emma:medium="tactile" emma:mode="ink">
          <msink:context xmlns:msink="http://schemas.microsoft.com/ink/2010/main" type="inkDrawing"/>
        </emma:interpretation>
      </emma:emma>
    </inkml:annotationXML>
    <inkml:trace contextRef="#ctx0" brushRef="#br0">30352 116212</inkml:trace>
  </inkml:traceGroup>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24:07.65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9361864-0B46-4821-BE75-40EC31885949}" emma:medium="tactile" emma:mode="ink">
          <msink:context xmlns:msink="http://schemas.microsoft.com/ink/2010/main" type="writingRegion" rotatedBoundingBox="22370,111828 22385,111828 22385,111843 22370,111843"/>
        </emma:interpretation>
      </emma:emma>
    </inkml:annotationXML>
    <inkml:traceGroup>
      <inkml:annotationXML>
        <emma:emma xmlns:emma="http://www.w3.org/2003/04/emma" version="1.0">
          <emma:interpretation id="{C600DD66-2D99-4BAF-A88C-F9B1C32C1C5F}" emma:medium="tactile" emma:mode="ink">
            <msink:context xmlns:msink="http://schemas.microsoft.com/ink/2010/main" type="paragraph" rotatedBoundingBox="22370,111828 22385,111828 22385,111843 22370,111843" alignmentLevel="1"/>
          </emma:interpretation>
        </emma:emma>
      </inkml:annotationXML>
      <inkml:traceGroup>
        <inkml:annotationXML>
          <emma:emma xmlns:emma="http://www.w3.org/2003/04/emma" version="1.0">
            <emma:interpretation id="{5FFA228A-FB59-4F9F-AB66-B3F676D1DFFB}" emma:medium="tactile" emma:mode="ink">
              <msink:context xmlns:msink="http://schemas.microsoft.com/ink/2010/main" type="line" rotatedBoundingBox="22370,111828 22385,111828 22385,111843 22370,111843"/>
            </emma:interpretation>
          </emma:emma>
        </inkml:annotationXML>
        <inkml:traceGroup>
          <inkml:annotationXML>
            <emma:emma xmlns:emma="http://www.w3.org/2003/04/emma" version="1.0">
              <emma:interpretation id="{0CF37B9A-73BB-48E3-A053-CC97B8F243C5}" emma:medium="tactile" emma:mode="ink">
                <msink:context xmlns:msink="http://schemas.microsoft.com/ink/2010/main" type="inkWord" rotatedBoundingBox="22370,111828 22385,111828 22385,111843 22370,111843"/>
              </emma:interpretation>
            </emma:emma>
          </inkml:annotationXML>
          <inkml:trace contextRef="#ctx0" brushRef="#br0">22372 111829</inkml:trace>
        </inkml:traceGroup>
      </inkml:traceGroup>
    </inkml:traceGroup>
  </inkml:traceGroup>
</inkml:ink>
</file>

<file path=xl/ink/ink17.xml><?xml version="1.0" encoding="utf-8"?>
<inkml:ink xmlns:inkml="http://www.w3.org/2003/InkML">
  <inkml:definitions/>
  <inkml:traceGroup>
    <inkml:annotationXML>
      <emma:emma xmlns:emma="http://www.w3.org/2003/04/emma" version="1.0">
        <emma:interpretation id="{5EBAF25B-2F97-402C-BC84-625B219FA401}" emma:medium="tactile" emma:mode="ink">
          <msink:context xmlns:msink="http://schemas.microsoft.com/ink/2010/main" type="inkDrawing" rotatedBoundingBox="26774,117883 26789,117883 26789,117898 26774,117898" shapeName="Other"/>
        </emma:interpretation>
      </emma:emma>
    </inkml:annotationXML>
  </inkml:traceGroup>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1T02:56:51.816"/>
    </inkml:context>
    <inkml:brush xml:id="br0">
      <inkml:brushProperty name="width" value="0.02646" units="cm"/>
      <inkml:brushProperty name="height" value="0.02646" units="cm"/>
      <inkml:brushProperty name="color" value="#ED1C24"/>
      <inkml:brushProperty name="ignorePressure" value="1"/>
    </inkml:brush>
  </inkml:definitions>
  <inkml:traceGroup>
    <inkml:annotationXML>
      <emma:emma xmlns:emma="http://www.w3.org/2003/04/emma" version="1.0">
        <emma:interpretation id="{F26F88A1-9D64-450C-91C1-0C6C4345D434}" emma:medium="tactile" emma:mode="ink">
          <msink:context xmlns:msink="http://schemas.microsoft.com/ink/2010/main" type="writingRegion" rotatedBoundingBox="28760,111551 30585,106497 31541,106842 29715,111897"/>
        </emma:interpretation>
      </emma:emma>
    </inkml:annotationXML>
    <inkml:traceGroup>
      <inkml:annotationXML>
        <emma:emma xmlns:emma="http://www.w3.org/2003/04/emma" version="1.0">
          <emma:interpretation id="{D9EA2C23-E564-446C-9F07-7E32F3C9DE6B}" emma:medium="tactile" emma:mode="ink">
            <msink:context xmlns:msink="http://schemas.microsoft.com/ink/2010/main" type="paragraph" rotatedBoundingBox="28764,106502 30938,106502 30938,111556 28764,111556" alignmentLevel="1"/>
          </emma:interpretation>
        </emma:emma>
      </inkml:annotationXML>
      <inkml:traceGroup>
        <inkml:annotationXML>
          <emma:emma xmlns:emma="http://www.w3.org/2003/04/emma" version="1.0">
            <emma:interpretation id="{A02EF591-38D6-4EB9-95C9-20A303A1CE69}" emma:medium="tactile" emma:mode="ink">
              <msink:context xmlns:msink="http://schemas.microsoft.com/ink/2010/main" type="inkBullet" rotatedBoundingBox="28760,111551 28765,111536 28778,111540 28773,111556"/>
            </emma:interpretation>
            <emma:one-of disjunction-type="recognition" id="oneOf0">
              <emma:interpretation id="interp0" emma:lang="en-NZ" emma:confidence="0">
                <emma:literal>↳</emma:literal>
              </emma:interpretation>
            </emma:one-of>
          </emma:emma>
        </inkml:annotationXML>
        <inkml:trace contextRef="#ctx0" brushRef="#br0">28765 110635</inkml:trace>
      </inkml:traceGroup>
      <inkml:traceGroup>
        <inkml:annotationXML>
          <emma:emma xmlns:emma="http://www.w3.org/2003/04/emma" version="1.0">
            <emma:interpretation id="{75B247EC-17B1-4029-A085-90349FA0C1F7}" emma:medium="tactile" emma:mode="ink">
              <msink:context xmlns:msink="http://schemas.microsoft.com/ink/2010/main" type="line" rotatedBoundingBox="30584,106502 30599,106502 30599,106517 30584,106517"/>
            </emma:interpretation>
          </emma:emma>
        </inkml:annotationXML>
        <inkml:traceGroup>
          <inkml:annotationXML>
            <emma:emma xmlns:emma="http://www.w3.org/2003/04/emma" version="1.0">
              <emma:interpretation id="{3772B510-7B50-4AA7-AF0E-A1AB7338BDAD}" emma:medium="tactile" emma:mode="ink">
                <msink:context xmlns:msink="http://schemas.microsoft.com/ink/2010/main" type="inkWord" rotatedBoundingBox="30584,106502 30599,106502 30599,106517 30584,106517"/>
              </emma:interpretation>
            </emma:emma>
          </inkml:annotationXML>
          <inkml:trace contextRef="#ctx0" brushRef="#br0" timeOffset="6704">30765 106502</inkml:trace>
        </inkml:traceGroup>
      </inkml:traceGroup>
      <inkml:traceGroup>
        <inkml:annotationXML>
          <emma:emma xmlns:emma="http://www.w3.org/2003/04/emma" version="1.0">
            <emma:interpretation id="{4B4DD8AD-3E5E-4FF0-B61E-DA5CA4A62A4E}" emma:medium="tactile" emma:mode="ink">
              <msink:context xmlns:msink="http://schemas.microsoft.com/ink/2010/main" type="line" rotatedBoundingBox="30923,108513 30938,108513 30938,108528 30923,108528"/>
            </emma:interpretation>
          </emma:emma>
        </inkml:annotationXML>
        <inkml:traceGroup>
          <inkml:annotationXML>
            <emma:emma xmlns:emma="http://www.w3.org/2003/04/emma" version="1.0">
              <emma:interpretation id="{E429ACCB-DB20-4C57-A072-CC15264B9E11}" emma:medium="tactile" emma:mode="ink">
                <msink:context xmlns:msink="http://schemas.microsoft.com/ink/2010/main" type="inkWord" rotatedBoundingBox="30923,108513 30938,108513 30938,108528 30923,108528"/>
              </emma:interpretation>
            </emma:emma>
          </inkml:annotationXML>
          <inkml:trace contextRef="#ctx0" brushRef="#br0" timeOffset="5033">31136 108152</inkml:trace>
        </inkml:traceGroup>
      </inkml:traceGroup>
    </inkml:traceGroup>
  </inkml:traceGroup>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03:01:33.281"/>
    </inkml:context>
    <inkml:brush xml:id="br0">
      <inkml:brushProperty name="width" value="0.03969" units="cm"/>
      <inkml:brushProperty name="height" value="0.03969" units="cm"/>
      <inkml:brushProperty name="color" value="#3165BB"/>
      <inkml:brushProperty name="ignorePressure" value="1"/>
    </inkml:brush>
  </inkml:definitions>
  <inkml:traceGroup>
    <inkml:annotationXML>
      <emma:emma xmlns:emma="http://www.w3.org/2003/04/emma" version="1.0">
        <emma:interpretation id="{167781C5-C552-4E23-BCD9-A266A5337765}" emma:medium="tactile" emma:mode="ink">
          <msink:context xmlns:msink="http://schemas.microsoft.com/ink/2010/main" type="inkDrawing" rotatedBoundingBox="24964,38086 24979,38086 24979,38101 24964,38101" shapeName="None"/>
        </emma:interpretation>
      </emma:emma>
    </inkml:annotationXML>
    <inkml:trace contextRef="#ctx0" brushRef="#br0">27876 18217</inkml:trace>
  </inkml:traceGroup>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6"/>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16.17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6735E5A-5F3F-4B7F-BAEE-916CD26D092A}" emma:medium="tactile" emma:mode="ink">
          <msink:context xmlns:msink="http://schemas.microsoft.com/ink/2010/main" type="inkDrawing"/>
        </emma:interpretation>
      </emma:emma>
    </inkml:annotationXML>
    <inkml:trace contextRef="#ctx0" brushRef="#br0">18603 6423</inkml:trace>
  </inkml:traceGroup>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6.82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243B4B9-7537-48B1-99A8-DD5A54EE5DBF}" emma:medium="tactile" emma:mode="ink">
          <msink:context xmlns:msink="http://schemas.microsoft.com/ink/2010/main" type="writingRegion" rotatedBoundingBox="27028,3838 27043,3838 27043,3853 27028,3853"/>
        </emma:interpretation>
      </emma:emma>
    </inkml:annotationXML>
    <inkml:traceGroup>
      <inkml:annotationXML>
        <emma:emma xmlns:emma="http://www.w3.org/2003/04/emma" version="1.0">
          <emma:interpretation id="{1B3EF680-D9C1-4FDD-92CA-88696EF4D905}" emma:medium="tactile" emma:mode="ink">
            <msink:context xmlns:msink="http://schemas.microsoft.com/ink/2010/main" type="paragraph" rotatedBoundingBox="27028,3838 27043,3838 27043,3853 27028,3853" alignmentLevel="1"/>
          </emma:interpretation>
        </emma:emma>
      </inkml:annotationXML>
      <inkml:traceGroup>
        <inkml:annotationXML>
          <emma:emma xmlns:emma="http://www.w3.org/2003/04/emma" version="1.0">
            <emma:interpretation id="{5DE78485-CBE0-4263-A92E-9D139B21394D}" emma:medium="tactile" emma:mode="ink">
              <msink:context xmlns:msink="http://schemas.microsoft.com/ink/2010/main" type="line" rotatedBoundingBox="27028,3838 27043,3838 27043,3853 27028,3853"/>
            </emma:interpretation>
          </emma:emma>
        </inkml:annotationXML>
        <inkml:traceGroup>
          <inkml:annotationXML>
            <emma:emma xmlns:emma="http://www.w3.org/2003/04/emma" version="1.0">
              <emma:interpretation id="{4E73FD42-EB5D-4A78-B5ED-F14D84B859E5}" emma:medium="tactile" emma:mode="ink">
                <msink:context xmlns:msink="http://schemas.microsoft.com/ink/2010/main" type="inkWord" rotatedBoundingBox="27028,3838 27043,3838 27043,3853 27028,3853"/>
              </emma:interpretation>
            </emma:emma>
          </inkml:annotationXML>
          <inkml:trace contextRef="#ctx0" brushRef="#br0">27028 3840</inkml:trace>
        </inkml:traceGroup>
      </inkml:traceGroup>
    </inkml:traceGroup>
  </inkml:traceGroup>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0.9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629EE08-CCA9-44B5-9E77-17E5E49FB3AF}" emma:medium="tactile" emma:mode="ink">
          <msink:context xmlns:msink="http://schemas.microsoft.com/ink/2010/main" type="inkDrawing"/>
        </emma:interpretation>
      </emma:emma>
    </inkml:annotationXML>
    <inkml:trace contextRef="#ctx0" brushRef="#br0">13332 7905</inkml:trace>
  </inkml:traceGroup>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21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7B718A74-45E5-454F-8BBA-A83863905113}" emma:medium="tactile" emma:mode="ink">
          <msink:context xmlns:msink="http://schemas.microsoft.com/ink/2010/main" type="inkDrawing"/>
        </emma:interpretation>
      </emma:emma>
    </inkml:annotationXML>
    <inkml:trace contextRef="#ctx0" brushRef="#br0">13332 7905</inkml:trace>
  </inkml:traceGroup>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41.93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AE6B9258-7DA5-4552-97A2-A27841F24F12}" emma:medium="tactile" emma:mode="ink">
          <msink:context xmlns:msink="http://schemas.microsoft.com/ink/2010/main" type="inkDrawing"/>
        </emma:interpretation>
      </emma:emma>
    </inkml:annotationXML>
    <inkml:trace contextRef="#ctx0" brushRef="#br0">25716 5301</inkml:trace>
  </inkml:traceGroup>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39.828"/>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0336944-8450-4623-A95B-DDBDAF4E3519}" emma:medium="tactile" emma:mode="ink">
          <msink:context xmlns:msink="http://schemas.microsoft.com/ink/2010/main" type="writingRegion" rotatedBoundingBox="13437,7945 13876,7966 13875,7982 13436,7960"/>
        </emma:interpretation>
      </emma:emma>
    </inkml:annotationXML>
    <inkml:traceGroup>
      <inkml:annotationXML>
        <emma:emma xmlns:emma="http://www.w3.org/2003/04/emma" version="1.0">
          <emma:interpretation id="{D28D0FF8-2CFC-45F6-9D73-D94E03EA4796}" emma:medium="tactile" emma:mode="ink">
            <msink:context xmlns:msink="http://schemas.microsoft.com/ink/2010/main" type="paragraph" rotatedBoundingBox="13437,7945 13876,7966 13875,7982 13436,7960" alignmentLevel="1"/>
          </emma:interpretation>
        </emma:emma>
      </inkml:annotationXML>
      <inkml:traceGroup>
        <inkml:annotationXML>
          <emma:emma xmlns:emma="http://www.w3.org/2003/04/emma" version="1.0">
            <emma:interpretation id="{BADD3385-ABAA-4367-BE27-99EEB71DF31A}" emma:medium="tactile" emma:mode="ink">
              <msink:context xmlns:msink="http://schemas.microsoft.com/ink/2010/main" type="line" rotatedBoundingBox="13437,7945 13876,7966 13875,7982 13436,7960"/>
            </emma:interpretation>
          </emma:emma>
        </inkml:annotationXML>
        <inkml:traceGroup>
          <inkml:annotationXML>
            <emma:emma xmlns:emma="http://www.w3.org/2003/04/emma" version="1.0">
              <emma:interpretation id="{D85667F5-B993-434F-9251-80BA3A16BBCC}" emma:medium="tactile" emma:mode="ink">
                <msink:context xmlns:msink="http://schemas.microsoft.com/ink/2010/main" type="inkWord" rotatedBoundingBox="13437,7945 13876,7966 13875,7982 13436,7960"/>
              </emma:interpretation>
            </emma:emma>
          </inkml:annotationXML>
          <inkml:trace contextRef="#ctx0" brushRef="#br0">13438 7947</inkml:trace>
          <inkml:trace contextRef="#ctx0" brushRef="#br0" timeOffset="7141">13859 7968</inkml:trace>
          <inkml:trace contextRef="#ctx0" brushRef="#br0" timeOffset="7817">13859 7968</inkml:trace>
        </inkml:traceGroup>
      </inkml:traceGroup>
    </inkml:traceGroup>
  </inkml:traceGroup>
</inkml:ink>
</file>

<file path=xl/ink/ink26.xml><?xml version="1.0" encoding="utf-8"?>
<inkml:ink xmlns:inkml="http://www.w3.org/2003/InkML">
  <inkml:definitions/>
  <inkml:traceGroup>
    <inkml:annotationXML>
      <emma:emma xmlns:emma="http://www.w3.org/2003/04/emma" version="1.0">
        <emma:interpretation id="{0C8C8635-9009-4086-A38E-440576AFB57D}" emma:medium="tactile" emma:mode="ink">
          <msink:context xmlns:msink="http://schemas.microsoft.com/ink/2010/main" type="writingRegion" rotatedBoundingBox="29864,1954 29879,1954 29879,1969 29864,1969"/>
        </emma:interpretation>
      </emma:emma>
    </inkml:annotationXML>
    <inkml:traceGroup>
      <inkml:annotationXML>
        <emma:emma xmlns:emma="http://www.w3.org/2003/04/emma" version="1.0">
          <emma:interpretation id="{06B0485F-FF3E-44F2-95B0-7CA5CAC63CF8}" emma:medium="tactile" emma:mode="ink">
            <msink:context xmlns:msink="http://schemas.microsoft.com/ink/2010/main" type="paragraph" rotatedBoundingBox="29864,1954 29879,1954 29879,1969 29864,1969" alignmentLevel="1"/>
          </emma:interpretation>
        </emma:emma>
      </inkml:annotationXML>
      <inkml:traceGroup>
        <inkml:annotationXML>
          <emma:emma xmlns:emma="http://www.w3.org/2003/04/emma" version="1.0">
            <emma:interpretation id="{1BE2E9DF-7701-4214-A776-E6E0B309CD33}" emma:medium="tactile" emma:mode="ink">
              <msink:context xmlns:msink="http://schemas.microsoft.com/ink/2010/main" type="line" rotatedBoundingBox="29864,1954 29879,1954 29879,1969 29864,1969"/>
            </emma:interpretation>
          </emma:emma>
        </inkml:annotationXML>
        <inkml:traceGroup>
          <inkml:annotationXML>
            <emma:emma xmlns:emma="http://www.w3.org/2003/04/emma" version="1.0">
              <emma:interpretation id="{D5B293CF-25F0-4FB0-B135-95A1C6A8CECE}" emma:medium="tactile" emma:mode="ink">
                <msink:context xmlns:msink="http://schemas.microsoft.com/ink/2010/main" type="inkWord" rotatedBoundingBox="29864,1954 29879,1954 29879,1969 29864,1969"/>
              </emma:interpretation>
            </emma:emma>
          </inkml:annotationXML>
        </inkml:traceGroup>
      </inkml:traceGroup>
    </inkml:traceGroup>
  </inkml:traceGroup>
</inkml:ink>
</file>

<file path=xl/ink/ink27.xml><?xml version="1.0" encoding="utf-8"?>
<inkml:ink xmlns:inkml="http://www.w3.org/2003/InkML">
  <inkml:definitions/>
  <inkml:traceGroup>
    <inkml:annotationXML>
      <emma:emma xmlns:emma="http://www.w3.org/2003/04/emma" version="1.0">
        <emma:interpretation id="{5D15768C-FF54-46B3-8340-C91815133DEA}" emma:medium="tactile" emma:mode="ink">
          <msink:context xmlns:msink="http://schemas.microsoft.com/ink/2010/main" type="writingRegion" rotatedBoundingBox="13860,13980 13875,13980 13875,13995 13860,13995"/>
        </emma:interpretation>
      </emma:emma>
    </inkml:annotationXML>
    <inkml:traceGroup>
      <inkml:annotationXML>
        <emma:emma xmlns:emma="http://www.w3.org/2003/04/emma" version="1.0">
          <emma:interpretation id="{15F3DD0D-1E73-44CE-BD4E-E61992CC840E}" emma:medium="tactile" emma:mode="ink">
            <msink:context xmlns:msink="http://schemas.microsoft.com/ink/2010/main" type="paragraph" rotatedBoundingBox="13860,13980 13875,13980 13875,13995 13860,13995" alignmentLevel="1"/>
          </emma:interpretation>
        </emma:emma>
      </inkml:annotationXML>
      <inkml:traceGroup>
        <inkml:annotationXML>
          <emma:emma xmlns:emma="http://www.w3.org/2003/04/emma" version="1.0">
            <emma:interpretation id="{3E12EBF9-EF78-4BB3-B4BA-4E990D73D6D2}" emma:medium="tactile" emma:mode="ink">
              <msink:context xmlns:msink="http://schemas.microsoft.com/ink/2010/main" type="line" rotatedBoundingBox="13860,13980 13875,13980 13875,13995 13860,13995"/>
            </emma:interpretation>
          </emma:emma>
        </inkml:annotationXML>
        <inkml:traceGroup>
          <inkml:annotationXML>
            <emma:emma xmlns:emma="http://www.w3.org/2003/04/emma" version="1.0">
              <emma:interpretation id="{78791541-DADB-4FA4-8B13-7448DE2ECBBA}" emma:medium="tactile" emma:mode="ink">
                <msink:context xmlns:msink="http://schemas.microsoft.com/ink/2010/main" type="inkWord" rotatedBoundingBox="13860,13980 13875,13980 13875,13995 13860,13995"/>
              </emma:interpretation>
            </emma:emma>
          </inkml:annotationXML>
        </inkml:traceGroup>
      </inkml:traceGroup>
    </inkml:traceGroup>
  </inkml:traceGroup>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CA0C15BF-CC5D-4B13-9E7F-88048381C9BA}" emma:medium="tactile" emma:mode="ink">
          <msink:context xmlns:msink="http://schemas.microsoft.com/ink/2010/main" type="writingRegion" rotatedBoundingBox="21862,1954 21877,1954 21877,1969 21862,1969"/>
        </emma:interpretation>
      </emma:emma>
    </inkml:annotationXML>
    <inkml:traceGroup>
      <inkml:annotationXML>
        <emma:emma xmlns:emma="http://www.w3.org/2003/04/emma" version="1.0">
          <emma:interpretation id="{37801924-6A31-45B8-8279-5B4749D0AC87}" emma:medium="tactile" emma:mode="ink">
            <msink:context xmlns:msink="http://schemas.microsoft.com/ink/2010/main" type="paragraph" rotatedBoundingBox="21862,1954 21877,1954 21877,1969 21862,1969" alignmentLevel="1"/>
          </emma:interpretation>
        </emma:emma>
      </inkml:annotationXML>
      <inkml:traceGroup>
        <inkml:annotationXML>
          <emma:emma xmlns:emma="http://www.w3.org/2003/04/emma" version="1.0">
            <emma:interpretation id="{E6C0B262-97B9-44E4-A0D5-24E954C9D779}" emma:medium="tactile" emma:mode="ink">
              <msink:context xmlns:msink="http://schemas.microsoft.com/ink/2010/main" type="line" rotatedBoundingBox="21862,1954 21877,1954 21877,1969 21862,1969"/>
            </emma:interpretation>
          </emma:emma>
        </inkml:annotationXML>
        <inkml:traceGroup>
          <inkml:annotationXML>
            <emma:emma xmlns:emma="http://www.w3.org/2003/04/emma" version="1.0">
              <emma:interpretation id="{63509C6E-5DE6-4FB4-8352-6A87EA32614F}" emma:medium="tactile" emma:mode="ink">
                <msink:context xmlns:msink="http://schemas.microsoft.com/ink/2010/main" type="inkWord" rotatedBoundingBox="21862,1954 21877,1954 21877,1969 21862,1969"/>
              </emma:interpretation>
            </emma:emma>
          </inkml:annotationXML>
          <inkml:trace contextRef="#ctx0" brushRef="#br0">21864 1955</inkml:trace>
        </inkml:traceGroup>
      </inkml:traceGroup>
    </inkml:traceGroup>
  </inkml:traceGroup>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8:51.79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FA34D80-1245-462A-A08E-9D86B33F8E74}" emma:medium="tactile" emma:mode="ink">
          <msink:context xmlns:msink="http://schemas.microsoft.com/ink/2010/main" type="writingRegion" rotatedBoundingBox="13860,7967 13875,7967 13875,7982 13860,7982"/>
        </emma:interpretation>
      </emma:emma>
    </inkml:annotationXML>
    <inkml:traceGroup>
      <inkml:annotationXML>
        <emma:emma xmlns:emma="http://www.w3.org/2003/04/emma" version="1.0">
          <emma:interpretation id="{A701FF4A-8103-43E9-A6FB-0F7579BF422C}" emma:medium="tactile" emma:mode="ink">
            <msink:context xmlns:msink="http://schemas.microsoft.com/ink/2010/main" type="paragraph" rotatedBoundingBox="13860,7967 13875,7967 13875,7982 13860,7982" alignmentLevel="1"/>
          </emma:interpretation>
        </emma:emma>
      </inkml:annotationXML>
      <inkml:traceGroup>
        <inkml:annotationXML>
          <emma:emma xmlns:emma="http://www.w3.org/2003/04/emma" version="1.0">
            <emma:interpretation id="{E3237EBD-8FF6-4A29-84EE-1F01360811D9}" emma:medium="tactile" emma:mode="ink">
              <msink:context xmlns:msink="http://schemas.microsoft.com/ink/2010/main" type="line" rotatedBoundingBox="13860,7967 13875,7967 13875,7982 13860,7982"/>
            </emma:interpretation>
          </emma:emma>
        </inkml:annotationXML>
        <inkml:traceGroup>
          <inkml:annotationXML>
            <emma:emma xmlns:emma="http://www.w3.org/2003/04/emma" version="1.0">
              <emma:interpretation id="{F00AD540-C50C-4C57-A551-DCC53E0C36A3}" emma:medium="tactile" emma:mode="ink">
                <msink:context xmlns:msink="http://schemas.microsoft.com/ink/2010/main" type="inkWord" rotatedBoundingBox="13860,7967 13875,7967 13875,7982 13860,7982"/>
              </emma:interpretation>
            </emma:emma>
          </inkml:annotationXML>
          <inkml:trace contextRef="#ctx0" brushRef="#br0">13862 7968</inkml:trace>
        </inkml:traceGroup>
      </inkml:traceGroup>
    </inkml:traceGroup>
  </inkml:traceGroup>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7"/>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2.137"/>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A1A3F64-3205-4C3C-81CA-974216B06408}" emma:medium="tactile" emma:mode="ink">
          <msink:context xmlns:msink="http://schemas.microsoft.com/ink/2010/main" type="inkDrawing"/>
        </emma:interpretation>
      </emma:emma>
    </inkml:annotationXML>
    <inkml:trace contextRef="#ctx0" brushRef="#br0">22118 5956</inkml:trace>
  </inkml:traceGroup>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6.74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B10406D6-E358-48F1-A214-4E739230A8B2}" emma:medium="tactile" emma:mode="ink">
          <msink:context xmlns:msink="http://schemas.microsoft.com/ink/2010/main" type="inkDrawing"/>
        </emma:interpretation>
      </emma:emma>
    </inkml:annotationXML>
    <inkml:trace contextRef="#ctx0" brushRef="#br0">21461 10869</inkml:trace>
  </inkml:traceGroup>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29:08.36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075F379B-8A38-4732-92CF-F3F11C1856CC}" emma:medium="tactile" emma:mode="ink">
          <msink:context xmlns:msink="http://schemas.microsoft.com/ink/2010/main" type="inkDrawing" rotatedBoundingBox="32320,2865 32335,2865 32335,2880 32320,2880" shapeName="None"/>
        </emma:interpretation>
      </emma:emma>
    </inkml:annotationXML>
    <inkml:trace contextRef="#ctx0" brushRef="#br0">32321 2865</inkml:trace>
  </inkml:traceGroup>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23.78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0AFE926-0121-46EB-AFAB-AA6575F7C522}" emma:medium="tactile" emma:mode="ink">
          <msink:context xmlns:msink="http://schemas.microsoft.com/ink/2010/main" type="writingRegion" rotatedBoundingBox="20105,35999 20120,35999 20120,36014 20105,36014"/>
        </emma:interpretation>
      </emma:emma>
    </inkml:annotationXML>
    <inkml:traceGroup>
      <inkml:annotationXML>
        <emma:emma xmlns:emma="http://www.w3.org/2003/04/emma" version="1.0">
          <emma:interpretation id="{C8FE814A-9F4A-412C-AF5C-DAFBCD1071CF}" emma:medium="tactile" emma:mode="ink">
            <msink:context xmlns:msink="http://schemas.microsoft.com/ink/2010/main" type="paragraph" rotatedBoundingBox="20105,35999 20120,35999 20120,36014 20105,36014" alignmentLevel="1"/>
          </emma:interpretation>
        </emma:emma>
      </inkml:annotationXML>
      <inkml:traceGroup>
        <inkml:annotationXML>
          <emma:emma xmlns:emma="http://www.w3.org/2003/04/emma" version="1.0">
            <emma:interpretation id="{C067613C-F111-4A18-9D5E-18121059105A}" emma:medium="tactile" emma:mode="ink">
              <msink:context xmlns:msink="http://schemas.microsoft.com/ink/2010/main" type="line" rotatedBoundingBox="20105,35999 20120,35999 20120,36014 20105,36014"/>
            </emma:interpretation>
          </emma:emma>
        </inkml:annotationXML>
        <inkml:traceGroup>
          <inkml:annotationXML>
            <emma:emma xmlns:emma="http://www.w3.org/2003/04/emma" version="1.0">
              <emma:interpretation id="{249042E7-2E97-41F9-8A26-96C6E96D54C1}" emma:medium="tactile" emma:mode="ink">
                <msink:context xmlns:msink="http://schemas.microsoft.com/ink/2010/main" type="inkWord" rotatedBoundingBox="20105,35999 20120,35999 20120,36014 20105,36014"/>
              </emma:interpretation>
            </emma:emma>
          </inkml:annotationXML>
          <inkml:trace contextRef="#ctx0" brushRef="#br0">20107 35999</inkml:trace>
        </inkml:traceGroup>
      </inkml:traceGroup>
    </inkml:traceGroup>
  </inkml:traceGroup>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072"/>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E441676-4742-42C3-9784-F0CE6AC80F8C}" emma:medium="tactile" emma:mode="ink">
          <msink:context xmlns:msink="http://schemas.microsoft.com/ink/2010/main" type="writingRegion" rotatedBoundingBox="25313,38857 25328,38857 25328,38872 25313,38872"/>
        </emma:interpretation>
      </emma:emma>
    </inkml:annotationXML>
    <inkml:traceGroup>
      <inkml:annotationXML>
        <emma:emma xmlns:emma="http://www.w3.org/2003/04/emma" version="1.0">
          <emma:interpretation id="{88C07944-DDF5-4596-BEF8-12464EFF6824}" emma:medium="tactile" emma:mode="ink">
            <msink:context xmlns:msink="http://schemas.microsoft.com/ink/2010/main" type="paragraph" rotatedBoundingBox="25313,38857 25328,38857 25328,38872 25313,38872" alignmentLevel="1"/>
          </emma:interpretation>
        </emma:emma>
      </inkml:annotationXML>
      <inkml:traceGroup>
        <inkml:annotationXML>
          <emma:emma xmlns:emma="http://www.w3.org/2003/04/emma" version="1.0">
            <emma:interpretation id="{E7F96E58-1166-4A4E-9EB6-75F1166D9D71}" emma:medium="tactile" emma:mode="ink">
              <msink:context xmlns:msink="http://schemas.microsoft.com/ink/2010/main" type="line" rotatedBoundingBox="25313,38857 25328,38857 25328,38872 25313,38872"/>
            </emma:interpretation>
          </emma:emma>
        </inkml:annotationXML>
        <inkml:traceGroup>
          <inkml:annotationXML>
            <emma:emma xmlns:emma="http://www.w3.org/2003/04/emma" version="1.0">
              <emma:interpretation id="{5B200F86-46A7-45C7-B85F-F065B6F791A8}" emma:medium="tactile" emma:mode="ink">
                <msink:context xmlns:msink="http://schemas.microsoft.com/ink/2010/main" type="inkWord" rotatedBoundingBox="25313,38857 25328,38857 25328,38872 25313,38872"/>
              </emma:interpretation>
            </emma:emma>
          </inkml:annotationXML>
          <inkml:trace contextRef="#ctx0" brushRef="#br0">25314 38858</inkml:trace>
        </inkml:traceGroup>
      </inkml:traceGroup>
    </inkml:traceGroup>
  </inkml:traceGroup>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8.95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A18620F-B239-485B-AE6A-340A6671593E}" emma:medium="tactile" emma:mode="ink">
          <msink:context xmlns:msink="http://schemas.microsoft.com/ink/2010/main" type="inkDrawing"/>
        </emma:interpretation>
      </emma:emma>
    </inkml:annotationXML>
    <inkml:trace contextRef="#ctx0" brushRef="#br0">13862 40551</inkml:trace>
  </inkml:traceGroup>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670"/>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91909C06-3FB6-421F-AFEC-7342B608BF01}" emma:medium="tactile" emma:mode="ink">
          <msink:context xmlns:msink="http://schemas.microsoft.com/ink/2010/main" type="inkDrawing"/>
        </emma:interpretation>
      </emma:emma>
    </inkml:annotationXML>
    <inkml:trace contextRef="#ctx0" brushRef="#br0">13862 40551</inkml:trace>
  </inkml:traceGroup>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4:59.96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E831904B-5FD7-4F6F-8E1F-5436A51FFBD9}" emma:medium="tactile" emma:mode="ink">
          <msink:context xmlns:msink="http://schemas.microsoft.com/ink/2010/main" type="inkDrawing"/>
        </emma:interpretation>
      </emma:emma>
    </inkml:annotationXML>
    <inkml:trace contextRef="#ctx0" brushRef="#br0">13862 40551</inkml:trace>
  </inkml:traceGroup>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0.25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B5729B3-65A2-4781-9AB3-1750F45B2886}" emma:medium="tactile" emma:mode="ink">
          <msink:context xmlns:msink="http://schemas.microsoft.com/ink/2010/main" type="inkDrawing"/>
        </emma:interpretation>
      </emma:emma>
    </inkml:annotationXML>
    <inkml:trace contextRef="#ctx0" brushRef="#br0">13862 40551</inkml:trace>
  </inkml:traceGroup>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5:01.143"/>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DCB66D0B-6075-40A8-8B9C-7E0C3A059813}" emma:medium="tactile" emma:mode="ink">
          <msink:context xmlns:msink="http://schemas.microsoft.com/ink/2010/main" type="inkDrawing"/>
        </emma:interpretation>
      </emma:emma>
    </inkml:annotationXML>
    <inkml:trace contextRef="#ctx0" brushRef="#br0">11765 35872</inkml:trace>
  </inkml:traceGroup>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8"/>
    </inkml:context>
    <inkml:brush xml:id="br0">
      <inkml:brushProperty name="width" value="0.05" units="cm"/>
      <inkml:brushProperty name="height" value="0.05" units="cm"/>
      <inkml:brushProperty name="ignorePressure" value="1"/>
    </inkml:brush>
  </inkml:definitions>
  <inkml:trace contextRef="#ctx0" brushRef="#br0">1 0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19.57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58C5219-B8F7-4AC9-8A99-648EC4DB2964}" emma:medium="tactile" emma:mode="ink">
          <msink:context xmlns:msink="http://schemas.microsoft.com/ink/2010/main" type="inkDrawing" rotatedBoundingBox="21333,44886 21348,44886 21348,44901 21333,44901" shapeName="None"/>
        </emma:interpretation>
      </emma:emma>
    </inkml:annotationXML>
    <inkml:trace contextRef="#ctx0" brushRef="#br0">21334 44887</inkml:trace>
  </inkml:traceGroup>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23.286"/>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57765864-C6A6-40B5-81D6-A11C1C3C73C8}" emma:medium="tactile" emma:mode="ink">
          <msink:context xmlns:msink="http://schemas.microsoft.com/ink/2010/main" type="inkDrawing" rotatedBoundingBox="26075,46368 26090,46368 26090,46383 26075,46383" shapeName="None"/>
        </emma:interpretation>
      </emma:emma>
    </inkml:annotationXML>
    <inkml:trace contextRef="#ctx0" brushRef="#br0">26076 46369</inkml:trace>
  </inkml:traceGroup>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48:47.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BDDE980-35AE-492A-AC45-39405CE8FAA3}" emma:medium="tactile" emma:mode="ink">
          <msink:context xmlns:msink="http://schemas.microsoft.com/ink/2010/main" type="inkDrawing" rotatedBoundingBox="21058,45712 21073,45712 21073,45727 21058,45727" shapeName="None"/>
        </emma:interpretation>
      </emma:emma>
    </inkml:annotationXML>
    <inkml:trace contextRef="#ctx0" brushRef="#br0">21059 45712</inkml:trace>
  </inkml:traceGroup>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2.42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FE8BD7F-A1AC-4FFE-AE11-E85592DAB4CB}" emma:medium="tactile" emma:mode="ink">
          <msink:context xmlns:msink="http://schemas.microsoft.com/ink/2010/main" type="inkDrawing"/>
        </emma:interpretation>
      </emma:emma>
    </inkml:annotationXML>
    <inkml:trace contextRef="#ctx0" brushRef="#br0">22499 45246</inkml:trace>
  </inkml:traceGroup>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4.89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022C8F5-B9D1-46DF-9400-CB6B2AF9AA50}"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5.56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4B2E6C11-241D-48A0-A09A-9B4133363AAA}"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08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F365D84-BB45-43C4-B77E-EB5BB667102E}" emma:medium="tactile" emma:mode="ink">
          <msink:context xmlns:msink="http://schemas.microsoft.com/ink/2010/main" type="inkDrawing" rotatedBoundingBox="21778,47235 21793,47235 21793,47250 21778,47250" shapeName="None"/>
        </emma:interpretation>
      </emma:emma>
    </inkml:annotationXML>
    <inkml:trace contextRef="#ctx0" brushRef="#br0">21778 47237</inkml:trace>
  </inkml:traceGroup>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1:55:07.617"/>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1878DA90-24AD-4FDC-976E-9D28DC187A5B}" emma:medium="tactile" emma:mode="ink">
          <msink:context xmlns:msink="http://schemas.microsoft.com/ink/2010/main" type="inkDrawing" rotatedBoundingBox="29272,49670 29287,49670 29287,49685 29272,49685" shapeName="None"/>
        </emma:interpretation>
      </emma:emma>
    </inkml:annotationXML>
    <inkml:trace contextRef="#ctx0" brushRef="#br0">29272 49671</inkml:trace>
  </inkml:traceGroup>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24.851"/>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85CC9E5F-D83D-4265-98A2-B3FD76DDA846}" emma:medium="tactile" emma:mode="ink">
          <msink:context xmlns:msink="http://schemas.microsoft.com/ink/2010/main" type="inkDrawing" rotatedBoundingBox="21930,70872 22394,71753 22369,71767 21904,70886" shapeName="None"/>
        </emma:interpretation>
      </emma:emma>
    </inkml:annotationXML>
    <inkml:trace contextRef="#ctx0" brushRef="#br0">21905 70887,'7'10,"7"12,7 6,4 11,5 8,1 3,-1-1,-7 0,2 2,-1-9,-4-6,-3-7,-2 0,-2-1,-3 1,5-1,0-1,-1 2,0-1,-1 1,-2-4,1-2,2 8,-2 1,-2-2,0-1,3-7,-3-5</inkml:trace>
  </inkml:traceGroup>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0.797"/>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7C61EC1E-FE20-4FC8-BACD-A609D68A2C86}" emma:medium="tactile" emma:mode="ink">
          <msink:context xmlns:msink="http://schemas.microsoft.com/ink/2010/main" type="inkDrawing" rotatedBoundingBox="22026,73007 22370,72336 22440,72372 22095,73042" shapeName="None"/>
        </emma:interpretation>
      </emma:emma>
    </inkml:annotationXML>
    <inkml:trace contextRef="#ctx0" brushRef="#br0">22392 72347,'0'4,"0"4,0 5,0 11,-3 5,-2 1,-3-1,0-2,-3-2,-3-1,1-2,0-1,1 1,-1-2,2 1,0 7,-3 3,-2-1,-2 2,2 2,0 0,-1-7,-1 0,3-1,0-5,-1-3,2-4,-7-5,-4-3,3-3</inkml:trace>
  </inkml:traceGroup>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699"/>
    </inkml:context>
    <inkml:brush xml:id="br0">
      <inkml:brushProperty name="width" value="0.05" units="cm"/>
      <inkml:brushProperty name="height" value="0.05" units="cm"/>
      <inkml:brushProperty name="ignorePressure" value="1"/>
    </inkml:brush>
  </inkml:definitions>
  <inkml:trace contextRef="#ctx0" brushRef="#br0">1 27,'120'3,"130"-6,-179-10,-51 9,0 0,28-1,-23 4,268 3,-260 3,0 1,0 2,33 12,-41-11,0-1,1-1,-1-2,2 0,50 1,-64-7,-1-1,1 0,16-6,-17 5,1-1,0 2,17-2,63 4,-59 1,-1-2,1 0,0-3,37-7,-2 0,-47 10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38.542"/>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E9BB69C7-D880-463B-867A-0E2EBE2203D1}" emma:medium="tactile" emma:mode="ink">
          <msink:context xmlns:msink="http://schemas.microsoft.com/ink/2010/main" type="inkDrawing"/>
        </emma:interpretation>
      </emma:emma>
    </inkml:annotationXML>
    <inkml:trace contextRef="#ctx0" brushRef="#br0">18858 79144</inkml:trace>
  </inkml:traceGroup>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1.604"/>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4A685608-AF03-4FDE-A8A2-555EAE0C5C5C}" emma:medium="tactile" emma:mode="ink">
          <msink:context xmlns:msink="http://schemas.microsoft.com/ink/2010/main" type="inkDrawing"/>
        </emma:interpretation>
      </emma:emma>
    </inkml:annotationXML>
    <inkml:trace contextRef="#ctx0" brushRef="#br0">27495 79673</inkml:trace>
  </inkml:traceGroup>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2T22:03:44.603"/>
    </inkml:context>
    <inkml:brush xml:id="br0">
      <inkml:brushProperty name="width" value="0.02646" units="cm"/>
      <inkml:brushProperty name="height" value="0.02646" units="cm"/>
      <inkml:brushProperty name="ignorePressure" value="1"/>
    </inkml:brush>
  </inkml:definitions>
  <inkml:traceGroup>
    <inkml:annotationXML>
      <emma:emma xmlns:emma="http://www.w3.org/2003/04/emma" version="1.0">
        <emma:interpretation id="{1046A772-71DD-4C09-80CB-60967DFB8B8D}" emma:medium="tactile" emma:mode="ink">
          <msink:context xmlns:msink="http://schemas.microsoft.com/ink/2010/main" type="inkDrawing"/>
        </emma:interpretation>
      </emma:emma>
    </inkml:annotationXML>
    <inkml:trace contextRef="#ctx0" brushRef="#br0">28426 79504</inkml:trace>
  </inkml:traceGroup>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39:49.838"/>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8530293C-2400-46F8-8727-1D56876B3000}" emma:medium="tactile" emma:mode="ink">
          <msink:context xmlns:msink="http://schemas.microsoft.com/ink/2010/main" type="inkDrawing"/>
        </emma:interpretation>
      </emma:emma>
    </inkml:annotationXML>
    <inkml:trace contextRef="#ctx0" brushRef="#br0">26520 4601</inkml:trace>
  </inkml:traceGroup>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3.60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747A34B-F267-48CC-AED2-97F46AE4F039}" emma:medium="tactile" emma:mode="ink">
          <msink:context xmlns:msink="http://schemas.microsoft.com/ink/2010/main" type="writingRegion" rotatedBoundingBox="14474,7544 14489,7544 14489,7559 14474,7559"/>
        </emma:interpretation>
      </emma:emma>
    </inkml:annotationXML>
    <inkml:traceGroup>
      <inkml:annotationXML>
        <emma:emma xmlns:emma="http://www.w3.org/2003/04/emma" version="1.0">
          <emma:interpretation id="{72B03330-6C83-45EF-8390-75CD2D363026}" emma:medium="tactile" emma:mode="ink">
            <msink:context xmlns:msink="http://schemas.microsoft.com/ink/2010/main" type="paragraph" rotatedBoundingBox="14474,7544 14489,7544 14489,7559 14474,7559" alignmentLevel="1"/>
          </emma:interpretation>
        </emma:emma>
      </inkml:annotationXML>
      <inkml:traceGroup>
        <inkml:annotationXML>
          <emma:emma xmlns:emma="http://www.w3.org/2003/04/emma" version="1.0">
            <emma:interpretation id="{55C316CD-0725-4F96-A6A6-B013A2041986}" emma:medium="tactile" emma:mode="ink">
              <msink:context xmlns:msink="http://schemas.microsoft.com/ink/2010/main" type="line" rotatedBoundingBox="14474,7544 14489,7544 14489,7559 14474,7559"/>
            </emma:interpretation>
          </emma:emma>
        </inkml:annotationXML>
        <inkml:traceGroup>
          <inkml:annotationXML>
            <emma:emma xmlns:emma="http://www.w3.org/2003/04/emma" version="1.0">
              <emma:interpretation id="{30AF62A0-5073-4ED6-98E2-36129CC5528C}" emma:medium="tactile" emma:mode="ink">
                <msink:context xmlns:msink="http://schemas.microsoft.com/ink/2010/main" type="inkWord" rotatedBoundingBox="14474,7544 14489,7544 14489,7559 14474,7559"/>
              </emma:interpretation>
            </emma:emma>
          </inkml:annotationXML>
          <inkml:trace contextRef="#ctx0" brushRef="#br0">14475 7544</inkml:trace>
        </inkml:traceGroup>
      </inkml:traceGroup>
    </inkml:traceGroup>
  </inkml:traceGroup>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4.643"/>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78899092-969C-4B07-925D-56D546559658}" emma:medium="tactile" emma:mode="ink">
          <msink:context xmlns:msink="http://schemas.microsoft.com/ink/2010/main" type="inkDrawing"/>
        </emma:interpretation>
      </emma:emma>
    </inkml:annotationXML>
    <inkml:trace contextRef="#ctx0" brushRef="#br0">14433 7544</inkml:trace>
  </inkml:traceGroup>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20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F4947F99-216A-40C0-9ECD-E01FBEEDCB22}" emma:medium="tactile" emma:mode="ink">
          <msink:context xmlns:msink="http://schemas.microsoft.com/ink/2010/main" type="inkDrawing"/>
        </emma:interpretation>
      </emma:emma>
    </inkml:annotationXML>
    <inkml:trace contextRef="#ctx0" brushRef="#br0">14433 7544</inkml:trace>
  </inkml:traceGroup>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5.450"/>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DBE771E1-7E34-456D-BEB7-6D3D6F24217F}" emma:medium="tactile" emma:mode="ink">
          <msink:context xmlns:msink="http://schemas.microsoft.com/ink/2010/main" type="inkDrawing"/>
        </emma:interpretation>
      </emma:emma>
    </inkml:annotationXML>
    <inkml:trace contextRef="#ctx0" brushRef="#br0">14433 7544</inkml:trace>
  </inkml:traceGroup>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2:40:06.461"/>
    </inkml:context>
    <inkml:brush xml:id="br0">
      <inkml:brushProperty name="width" value="0.0175" units="cm"/>
      <inkml:brushProperty name="height" value="0.0175" units="cm"/>
      <inkml:brushProperty name="ignorePressure" value="1"/>
    </inkml:brush>
  </inkml:definitions>
  <inkml:traceGroup>
    <inkml:annotationXML>
      <emma:emma xmlns:emma="http://www.w3.org/2003/04/emma" version="1.0">
        <emma:interpretation id="{A0E560E0-A0BB-47E7-A1B0-302AF0576631}" emma:medium="tactile" emma:mode="ink">
          <msink:context xmlns:msink="http://schemas.microsoft.com/ink/2010/main" type="inkDrawing"/>
        </emma:interpretation>
      </emma:emma>
    </inkml:annotationXML>
    <inkml:trace contextRef="#ctx0" brushRef="#br0">28150 5829</inkml:trace>
  </inkml:traceGroup>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7:16:38.022"/>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227C6F3A-1508-446D-BD8E-6E3E57A0A3D6}" emma:medium="tactile" emma:mode="ink">
          <msink:context xmlns:msink="http://schemas.microsoft.com/ink/2010/main" type="inkDrawing"/>
        </emma:interpretation>
      </emma:emma>
    </inkml:annotationXML>
    <inkml:trace contextRef="#ctx0" brushRef="#br0">28384 78775</inkml:trace>
  </inkml:traceGroup>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6-16T04:29:09.700"/>
    </inkml:context>
    <inkml:brush xml:id="br0">
      <inkml:brushProperty name="width" value="0.05" units="cm"/>
      <inkml:brushProperty name="height" value="0.05" units="cm"/>
      <inkml:brushProperty name="ignorePressure" value="1"/>
    </inkml:brush>
  </inkml:definitions>
  <inkml:trace contextRef="#ctx0" brushRef="#br0">29 0,'5'0,"0"1,0-1,0 1,0 0,0 0,0 1,0-1,0 1,0 0,0 0,-1 1,1-1,-1 1,0 0,1 1,4 5,-6-7,-1 1,0 0,0-1,0 1,0 0,-1 0,1 0,-1 1,0-1,0 0,0 0,0 1,-1-1,1 0,-1 1,0-1,0 1,0-1,0 1,0-1,-1 0,0 1,0-1,0 0,-1 4,-3 2,0-1,0 0,0 0,-1 0,0-1,-1 0,0 0,0-1,0 1,-1-2,0 1,0-1,0 0,-14 5,6-4</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0.32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31D00AFA-9231-4802-AAC0-AF0975137DDB}" emma:medium="tactile" emma:mode="ink">
          <msink:context xmlns:msink="http://schemas.microsoft.com/ink/2010/main" type="inkDrawing"/>
        </emma:interpretation>
      </emma:emma>
    </inkml:annotationXML>
    <inkml:trace contextRef="#ctx0" brushRef="#br0">27092 110156</inkml:trace>
  </inkml:traceGroup>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37.42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A2A1C98B-DA57-4CBC-8E04-907C837EFC03}" emma:medium="tactile" emma:mode="ink">
          <msink:context xmlns:msink="http://schemas.microsoft.com/ink/2010/main" type="inkDrawing"/>
        </emma:interpretation>
      </emma:emma>
    </inkml:annotationXML>
    <inkml:trace contextRef="#ctx0" brushRef="#br0">27092 110156</inkml:trace>
  </inkml:traceGroup>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22:55:50.63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FDE5FCEE-E38C-41C8-8E31-9369FD8AF414}" emma:medium="tactile" emma:mode="ink">
          <msink:context xmlns:msink="http://schemas.microsoft.com/ink/2010/main" type="inkDrawing"/>
        </emma:interpretation>
      </emma:emma>
    </inkml:annotationXML>
    <inkml:trace contextRef="#ctx0" brushRef="#br0">27092 110156</inkml:trace>
  </inkml:traceGroup>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03.9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728F709-30A4-4583-BC54-8FA9FDD12F18}" emma:medium="tactile" emma:mode="ink">
          <msink:context xmlns:msink="http://schemas.microsoft.com/ink/2010/main" type="inkDrawing"/>
        </emma:interpretation>
      </emma:emma>
    </inkml:annotationXML>
    <inkml:trace contextRef="#ctx0" brushRef="#br0">27092 110156</inkml:trace>
  </inkml:traceGroup>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57:34.01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82DC9F0B-06A8-4CF2-A87D-AF77914135D7}" emma:medium="tactile" emma:mode="ink">
          <msink:context xmlns:msink="http://schemas.microsoft.com/ink/2010/main" type="inkDrawing"/>
        </emma:interpretation>
      </emma:emma>
    </inkml:annotationXML>
    <inkml:trace contextRef="#ctx0" brushRef="#br0">27092 110156</inkml:trace>
  </inkml:traceGroup>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7T06:12:12.353"/>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26992A9-E545-481F-A578-F78C9346B08F}" emma:medium="tactile" emma:mode="ink">
          <msink:context xmlns:msink="http://schemas.microsoft.com/ink/2010/main" type="inkDrawing"/>
        </emma:interpretation>
      </emma:emma>
    </inkml:annotationXML>
    <inkml:trace contextRef="#ctx0" brushRef="#br0">27092 110156</inkml:trace>
  </inkml:traceGroup>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1.151"/>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4549B564-4AFD-4538-8C9E-93C0DBA1DB9C}" emma:medium="tactile" emma:mode="ink">
          <msink:context xmlns:msink="http://schemas.microsoft.com/ink/2010/main" type="writingRegion" rotatedBoundingBox="-14807,641 -14414,641 -14414,864 -14807,864"/>
        </emma:interpretation>
      </emma:emma>
    </inkml:annotationXML>
    <inkml:traceGroup>
      <inkml:annotationXML>
        <emma:emma xmlns:emma="http://www.w3.org/2003/04/emma" version="1.0">
          <emma:interpretation id="{B5B58492-9B3C-48CB-A6B5-9E6B9A72FE0D}" emma:medium="tactile" emma:mode="ink">
            <msink:context xmlns:msink="http://schemas.microsoft.com/ink/2010/main" type="paragraph" rotatedBoundingBox="-14807,641 -14414,641 -14414,864 -14807,864" alignmentLevel="1"/>
          </emma:interpretation>
        </emma:emma>
      </inkml:annotationXML>
      <inkml:traceGroup>
        <inkml:annotationXML>
          <emma:emma xmlns:emma="http://www.w3.org/2003/04/emma" version="1.0">
            <emma:interpretation id="{90B2D134-5DEE-4E37-85BA-EAC7C5D694CC}" emma:medium="tactile" emma:mode="ink">
              <msink:context xmlns:msink="http://schemas.microsoft.com/ink/2010/main" type="line" rotatedBoundingBox="-14807,641 -14414,641 -14414,864 -14807,864"/>
            </emma:interpretation>
          </emma:emma>
        </inkml:annotationXML>
        <inkml:traceGroup>
          <inkml:annotationXML>
            <emma:emma xmlns:emma="http://www.w3.org/2003/04/emma" version="1.0">
              <emma:interpretation id="{B7DAE683-00C1-47D5-BF36-B956548CB48D}" emma:medium="tactile" emma:mode="ink">
                <msink:context xmlns:msink="http://schemas.microsoft.com/ink/2010/main" type="inkWord" rotatedBoundingBox="-14807,641 -14792,641 -14792,656 -14807,656"/>
              </emma:interpretation>
            </emma:emma>
          </inkml:annotationXML>
          <inkml:trace contextRef="#ctx0" brushRef="#br0">-14088 717</inkml:trace>
        </inkml:traceGroup>
        <inkml:traceGroup>
          <inkml:annotationXML>
            <emma:emma xmlns:emma="http://www.w3.org/2003/04/emma" version="1.0">
              <emma:interpretation id="{ED895C6C-3422-45CE-A320-F2BB9D7970E9}" emma:medium="tactile" emma:mode="ink">
                <msink:context xmlns:msink="http://schemas.microsoft.com/ink/2010/main" type="inkWord" rotatedBoundingBox="-14448,717 -14414,717 -14414,864 -14448,864"/>
              </emma:interpretation>
            </emma:emma>
          </inkml:annotationXML>
          <inkml:trace contextRef="#ctx0" brushRef="#br0" timeOffset="-499">-14448 924</inkml:trace>
          <inkml:trace contextRef="#ctx0" brushRef="#br0" timeOffset="-499">-14448 924</inkml:trace>
        </inkml:traceGroup>
      </inkml:traceGroup>
    </inkml:traceGroup>
  </inkml:traceGroup>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13T01:28:12.441"/>
    </inkml:context>
    <inkml:brush xml:id="br0">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88182F82-B7B2-4323-9C54-3109CC6ED5BA}" emma:medium="tactile" emma:mode="ink">
          <msink:context xmlns:msink="http://schemas.microsoft.com/ink/2010/main" type="writingRegion" rotatedBoundingBox="18568,15878 18583,15878 18583,15893 18568,15893"/>
        </emma:interpretation>
      </emma:emma>
    </inkml:annotationXML>
    <inkml:traceGroup>
      <inkml:annotationXML>
        <emma:emma xmlns:emma="http://www.w3.org/2003/04/emma" version="1.0">
          <emma:interpretation id="{C02C616D-2F11-4F2B-840A-C8BE73692A5E}" emma:medium="tactile" emma:mode="ink">
            <msink:context xmlns:msink="http://schemas.microsoft.com/ink/2010/main" type="paragraph" rotatedBoundingBox="18568,15878 18583,15878 18583,15893 18568,15893" alignmentLevel="1"/>
          </emma:interpretation>
        </emma:emma>
      </inkml:annotationXML>
      <inkml:traceGroup>
        <inkml:annotationXML>
          <emma:emma xmlns:emma="http://www.w3.org/2003/04/emma" version="1.0">
            <emma:interpretation id="{ECEDB7C9-DEB5-43BB-BC38-E2AAB19E7B92}" emma:medium="tactile" emma:mode="ink">
              <msink:context xmlns:msink="http://schemas.microsoft.com/ink/2010/main" type="line" rotatedBoundingBox="18568,15878 18583,15878 18583,15893 18568,15893"/>
            </emma:interpretation>
          </emma:emma>
        </inkml:annotationXML>
        <inkml:traceGroup>
          <inkml:annotationXML>
            <emma:emma xmlns:emma="http://www.w3.org/2003/04/emma" version="1.0">
              <emma:interpretation id="{E0E04CA0-731D-44BC-877E-8D2D4BD9CED4}" emma:medium="tactile" emma:mode="ink">
                <msink:context xmlns:msink="http://schemas.microsoft.com/ink/2010/main" type="inkWord" rotatedBoundingBox="18568,15878 18583,15878 18583,15893 18568,15893"/>
              </emma:interpretation>
            </emma:emma>
          </inkml:annotationXML>
          <inkml:trace contextRef="#ctx0" brushRef="#br0">21334 10402</inkml:trace>
        </inkml:traceGroup>
      </inkml:traceGroup>
    </inkml:traceGroup>
  </inkml:traceGroup>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04T03:32:35.946"/>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489C07E-B5F8-473A-91BD-8E2056C62A06}" emma:medium="tactile" emma:mode="ink">
          <msink:context xmlns:msink="http://schemas.microsoft.com/ink/2010/main" type="writingRegion" rotatedBoundingBox="15688,89891 15703,89891 15703,89906 15688,89906"/>
        </emma:interpretation>
      </emma:emma>
    </inkml:annotationXML>
    <inkml:traceGroup>
      <inkml:annotationXML>
        <emma:emma xmlns:emma="http://www.w3.org/2003/04/emma" version="1.0">
          <emma:interpretation id="{3D15EB4D-E7E1-4D72-BB75-E8E199093996}" emma:medium="tactile" emma:mode="ink">
            <msink:context xmlns:msink="http://schemas.microsoft.com/ink/2010/main" type="paragraph" rotatedBoundingBox="15688,89891 15703,89891 15703,89906 15688,89906" alignmentLevel="1"/>
          </emma:interpretation>
        </emma:emma>
      </inkml:annotationXML>
      <inkml:traceGroup>
        <inkml:annotationXML>
          <emma:emma xmlns:emma="http://www.w3.org/2003/04/emma" version="1.0">
            <emma:interpretation id="{AC99BB1B-F33A-47BA-8E69-18C385ACEF14}" emma:medium="tactile" emma:mode="ink">
              <msink:context xmlns:msink="http://schemas.microsoft.com/ink/2010/main" type="line" rotatedBoundingBox="15688,89891 15703,89891 15703,89906 15688,89906"/>
            </emma:interpretation>
          </emma:emma>
        </inkml:annotationXML>
        <inkml:traceGroup>
          <inkml:annotationXML>
            <emma:emma xmlns:emma="http://www.w3.org/2003/04/emma" version="1.0">
              <emma:interpretation id="{B84B866C-11A0-469C-9D68-18F28CF3A550}" emma:medium="tactile" emma:mode="ink">
                <msink:context xmlns:msink="http://schemas.microsoft.com/ink/2010/main" type="inkWord" rotatedBoundingBox="15688,89891 15703,89891 15703,89906 15688,89906"/>
              </emma:interpretation>
            </emma:emma>
          </inkml:annotationXML>
          <inkml:trace contextRef="#ctx0" brushRef="#br0">28384 78775</inkml:trace>
        </inkml:traceGroup>
      </inkml:traceGroup>
    </inkml:traceGroup>
  </inkml:traceGroup>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2.16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0EF0E05F-FF0D-4C55-994A-EE45A33D885B}" emma:medium="tactile" emma:mode="ink">
          <msink:context xmlns:msink="http://schemas.microsoft.com/ink/2010/main" type="writingRegion" rotatedBoundingBox="21179,234473 21194,234473 21194,234488 21179,234488"/>
        </emma:interpretation>
      </emma:emma>
    </inkml:annotationXML>
    <inkml:traceGroup>
      <inkml:annotationXML>
        <emma:emma xmlns:emma="http://www.w3.org/2003/04/emma" version="1.0">
          <emma:interpretation id="{DB5C7C97-202F-4768-8B66-94D7694CF20D}" emma:medium="tactile" emma:mode="ink">
            <msink:context xmlns:msink="http://schemas.microsoft.com/ink/2010/main" type="paragraph" rotatedBoundingBox="21179,234473 21194,234473 21194,234488 21179,234488" alignmentLevel="1"/>
          </emma:interpretation>
        </emma:emma>
      </inkml:annotationXML>
      <inkml:traceGroup>
        <inkml:annotationXML>
          <emma:emma xmlns:emma="http://www.w3.org/2003/04/emma" version="1.0">
            <emma:interpretation id="{8CB94BC8-2388-41FC-A3A9-19C70203296C}" emma:medium="tactile" emma:mode="ink">
              <msink:context xmlns:msink="http://schemas.microsoft.com/ink/2010/main" type="line" rotatedBoundingBox="21179,234473 21194,234473 21194,234488 21179,234488"/>
            </emma:interpretation>
          </emma:emma>
        </inkml:annotationXML>
        <inkml:traceGroup>
          <inkml:annotationXML>
            <emma:emma xmlns:emma="http://www.w3.org/2003/04/emma" version="1.0">
              <emma:interpretation id="{45BC4110-FC99-4509-9984-D389FA9F0D17}" emma:medium="tactile" emma:mode="ink">
                <msink:context xmlns:msink="http://schemas.microsoft.com/ink/2010/main" type="inkWord" rotatedBoundingBox="21179,234473 21194,234473 21194,234488 21179,234488"/>
              </emma:interpretation>
            </emma:emma>
          </inkml:annotationXML>
          <inkml:trace contextRef="#ctx0" brushRef="#br0">27092 110156</inkml:trace>
        </inkml:traceGroup>
      </inkml:traceGroup>
    </inkml:traceGroup>
  </inkml:traceGroup>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55:45.189"/>
    </inkml:context>
    <inkml:brush xml:id="br0">
      <inkml:brushProperty name="width" value="0.0265" units="cm"/>
      <inkml:brushProperty name="height" value="0.0265" units="cm"/>
    </inkml:brush>
  </inkml:definitions>
  <inkml:traceGroup>
    <inkml:annotationXML>
      <emma:emma xmlns:emma="http://www.w3.org/2003/04/emma" version="1.0">
        <emma:interpretation id="{DB72A9CC-00DF-4627-A86E-C5BFA68F364F}" emma:medium="tactile" emma:mode="ink">
          <msink:context xmlns:msink="http://schemas.microsoft.com/ink/2010/main" type="writingRegion" rotatedBoundingBox="36164,30710 36245,30710 36245,30725 36164,30725"/>
        </emma:interpretation>
      </emma:emma>
    </inkml:annotationXML>
    <inkml:traceGroup>
      <inkml:annotationXML>
        <emma:emma xmlns:emma="http://www.w3.org/2003/04/emma" version="1.0">
          <emma:interpretation id="{0A757A9A-48ED-45EB-911D-94F875020D48}" emma:medium="tactile" emma:mode="ink">
            <msink:context xmlns:msink="http://schemas.microsoft.com/ink/2010/main" type="paragraph" rotatedBoundingBox="36164,30710 36245,30710 36245,30725 36164,30725" alignmentLevel="1"/>
          </emma:interpretation>
        </emma:emma>
      </inkml:annotationXML>
      <inkml:traceGroup>
        <inkml:annotationXML>
          <emma:emma xmlns:emma="http://www.w3.org/2003/04/emma" version="1.0">
            <emma:interpretation id="{09989BE8-20FF-453F-BA3E-97787BB95455}" emma:medium="tactile" emma:mode="ink">
              <msink:context xmlns:msink="http://schemas.microsoft.com/ink/2010/main" type="line" rotatedBoundingBox="36164,30710 36245,30710 36245,30725 36164,30725"/>
            </emma:interpretation>
          </emma:emma>
        </inkml:annotationXML>
        <inkml:traceGroup>
          <inkml:annotationXML>
            <emma:emma xmlns:emma="http://www.w3.org/2003/04/emma" version="1.0">
              <emma:interpretation id="{1C6ED3F4-CC03-498D-925A-ECD603E7F393}" emma:medium="tactile" emma:mode="ink">
                <msink:context xmlns:msink="http://schemas.microsoft.com/ink/2010/main" type="inkWord" rotatedBoundingBox="36164,30710 36245,30710 36245,30725 36164,30725"/>
              </emma:interpretation>
            </emma:emma>
          </inkml:annotationXML>
          <inkml:trace contextRef="#ctx0" brushRef="#br0">36245 30711 8576,'0'0'3232,"-67"0"-1728,53 0-2752,14 0 128</inkml:trace>
        </inkml:traceGroup>
      </inkml:traceGroup>
    </inkml:traceGroup>
  </inkml:traceGroup>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07.31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794AB8A4-E813-473D-9D4A-28B60E1277B6}" emma:medium="tactile" emma:mode="ink">
          <msink:context xmlns:msink="http://schemas.microsoft.com/ink/2010/main" type="writingRegion" rotatedBoundingBox="21179,239233 21194,239233 21194,239248 21179,239248"/>
        </emma:interpretation>
      </emma:emma>
    </inkml:annotationXML>
    <inkml:traceGroup>
      <inkml:annotationXML>
        <emma:emma xmlns:emma="http://www.w3.org/2003/04/emma" version="1.0">
          <emma:interpretation id="{7D8F4DFD-E943-469E-B32F-6716F771FB84}" emma:medium="tactile" emma:mode="ink">
            <msink:context xmlns:msink="http://schemas.microsoft.com/ink/2010/main" type="paragraph" rotatedBoundingBox="21179,239233 21194,239233 21194,239248 21179,239248" alignmentLevel="1"/>
          </emma:interpretation>
        </emma:emma>
      </inkml:annotationXML>
      <inkml:traceGroup>
        <inkml:annotationXML>
          <emma:emma xmlns:emma="http://www.w3.org/2003/04/emma" version="1.0">
            <emma:interpretation id="{3467B51F-2CB5-4AA4-AC20-6D00AD2B4B7D}" emma:medium="tactile" emma:mode="ink">
              <msink:context xmlns:msink="http://schemas.microsoft.com/ink/2010/main" type="line" rotatedBoundingBox="21179,239233 21194,239233 21194,239248 21179,239248"/>
            </emma:interpretation>
          </emma:emma>
        </inkml:annotationXML>
        <inkml:traceGroup>
          <inkml:annotationXML>
            <emma:emma xmlns:emma="http://www.w3.org/2003/04/emma" version="1.0">
              <emma:interpretation id="{B90CF75F-60C3-4A65-A6A8-BFD67166C23F}" emma:medium="tactile" emma:mode="ink">
                <msink:context xmlns:msink="http://schemas.microsoft.com/ink/2010/main" type="inkWord" rotatedBoundingBox="21179,239233 21194,239233 21194,239248 21179,239248"/>
              </emma:interpretation>
            </emma:emma>
          </inkml:annotationXML>
          <inkml:trace contextRef="#ctx0" brushRef="#br0">27092 110156</inkml:trace>
        </inkml:traceGroup>
      </inkml:traceGroup>
    </inkml:traceGroup>
  </inkml:traceGroup>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5.082"/>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F78A62B-28AB-42C8-A1D9-421A92E1690C}" emma:medium="tactile" emma:mode="ink">
          <msink:context xmlns:msink="http://schemas.microsoft.com/ink/2010/main" type="writingRegion" rotatedBoundingBox="21179,248777 21194,248777 21194,248792 21179,248792"/>
        </emma:interpretation>
      </emma:emma>
    </inkml:annotationXML>
    <inkml:traceGroup>
      <inkml:annotationXML>
        <emma:emma xmlns:emma="http://www.w3.org/2003/04/emma" version="1.0">
          <emma:interpretation id="{29A0ECA5-E915-497B-84E6-BC09CA19CF85}" emma:medium="tactile" emma:mode="ink">
            <msink:context xmlns:msink="http://schemas.microsoft.com/ink/2010/main" type="paragraph" rotatedBoundingBox="21179,248777 21194,248777 21194,248792 21179,248792" alignmentLevel="1"/>
          </emma:interpretation>
        </emma:emma>
      </inkml:annotationXML>
      <inkml:traceGroup>
        <inkml:annotationXML>
          <emma:emma xmlns:emma="http://www.w3.org/2003/04/emma" version="1.0">
            <emma:interpretation id="{D388ABE4-E0C7-4757-8465-18342371C015}" emma:medium="tactile" emma:mode="ink">
              <msink:context xmlns:msink="http://schemas.microsoft.com/ink/2010/main" type="line" rotatedBoundingBox="21179,248777 21194,248777 21194,248792 21179,248792"/>
            </emma:interpretation>
          </emma:emma>
        </inkml:annotationXML>
        <inkml:traceGroup>
          <inkml:annotationXML>
            <emma:emma xmlns:emma="http://www.w3.org/2003/04/emma" version="1.0">
              <emma:interpretation id="{835AB594-6DD3-48DE-9A2F-E1B93BDC06CB}" emma:medium="tactile" emma:mode="ink">
                <msink:context xmlns:msink="http://schemas.microsoft.com/ink/2010/main" type="inkWord" rotatedBoundingBox="21179,248777 21194,248777 21194,248792 21179,248792"/>
              </emma:interpretation>
            </emma:emma>
          </inkml:annotationXML>
          <inkml:trace contextRef="#ctx0" brushRef="#br0">27092 110156</inkml:trace>
        </inkml:traceGroup>
      </inkml:traceGroup>
    </inkml:traceGroup>
  </inkml:traceGroup>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18.140"/>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786F16A-B000-4572-B83E-8E294248C525}" emma:medium="tactile" emma:mode="ink">
          <msink:context xmlns:msink="http://schemas.microsoft.com/ink/2010/main" type="writingRegion" rotatedBoundingBox="21179,253561 21194,253561 21194,253576 21179,253576"/>
        </emma:interpretation>
      </emma:emma>
    </inkml:annotationXML>
    <inkml:traceGroup>
      <inkml:annotationXML>
        <emma:emma xmlns:emma="http://www.w3.org/2003/04/emma" version="1.0">
          <emma:interpretation id="{7BE53F0E-B6EC-4AE5-9DFE-D24309811EF3}" emma:medium="tactile" emma:mode="ink">
            <msink:context xmlns:msink="http://schemas.microsoft.com/ink/2010/main" type="paragraph" rotatedBoundingBox="21179,253561 21194,253561 21194,253576 21179,253576" alignmentLevel="1"/>
          </emma:interpretation>
        </emma:emma>
      </inkml:annotationXML>
      <inkml:traceGroup>
        <inkml:annotationXML>
          <emma:emma xmlns:emma="http://www.w3.org/2003/04/emma" version="1.0">
            <emma:interpretation id="{97F30F88-1206-4EDA-90FF-A219AC34B625}" emma:medium="tactile" emma:mode="ink">
              <msink:context xmlns:msink="http://schemas.microsoft.com/ink/2010/main" type="line" rotatedBoundingBox="21179,253561 21194,253561 21194,253576 21179,253576"/>
            </emma:interpretation>
          </emma:emma>
        </inkml:annotationXML>
        <inkml:traceGroup>
          <inkml:annotationXML>
            <emma:emma xmlns:emma="http://www.w3.org/2003/04/emma" version="1.0">
              <emma:interpretation id="{A396C636-D103-48B7-B226-D217CBF6977E}" emma:medium="tactile" emma:mode="ink">
                <msink:context xmlns:msink="http://schemas.microsoft.com/ink/2010/main" type="inkWord" rotatedBoundingBox="21179,253561 21194,253561 21194,253576 21179,253576"/>
              </emma:interpretation>
            </emma:emma>
          </inkml:annotationXML>
          <inkml:trace contextRef="#ctx0" brushRef="#br0">27092 110156</inkml:trace>
        </inkml:traceGroup>
      </inkml:traceGroup>
    </inkml:traceGroup>
  </inkml:traceGroup>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2-28T03:12:21.895"/>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169EF2E-417A-4880-82B4-481A9E96BB85}" emma:medium="tactile" emma:mode="ink">
          <msink:context xmlns:msink="http://schemas.microsoft.com/ink/2010/main" type="writingRegion" rotatedBoundingBox="21179,258368 21194,258368 21194,258383 21179,258383"/>
        </emma:interpretation>
      </emma:emma>
    </inkml:annotationXML>
    <inkml:traceGroup>
      <inkml:annotationXML>
        <emma:emma xmlns:emma="http://www.w3.org/2003/04/emma" version="1.0">
          <emma:interpretation id="{65A9AFE7-F382-489E-A22C-41CEA393EEC1}" emma:medium="tactile" emma:mode="ink">
            <msink:context xmlns:msink="http://schemas.microsoft.com/ink/2010/main" type="paragraph" rotatedBoundingBox="21179,258368 21194,258368 21194,258383 21179,258383" alignmentLevel="1"/>
          </emma:interpretation>
        </emma:emma>
      </inkml:annotationXML>
      <inkml:traceGroup>
        <inkml:annotationXML>
          <emma:emma xmlns:emma="http://www.w3.org/2003/04/emma" version="1.0">
            <emma:interpretation id="{960ADE0C-8EDE-4792-9406-EE932DCD92BC}" emma:medium="tactile" emma:mode="ink">
              <msink:context xmlns:msink="http://schemas.microsoft.com/ink/2010/main" type="line" rotatedBoundingBox="21179,258368 21194,258368 21194,258383 21179,258383"/>
            </emma:interpretation>
          </emma:emma>
        </inkml:annotationXML>
        <inkml:traceGroup>
          <inkml:annotationXML>
            <emma:emma xmlns:emma="http://www.w3.org/2003/04/emma" version="1.0">
              <emma:interpretation id="{04D92BC3-6172-423B-962F-5ACE0CBAD6A3}" emma:medium="tactile" emma:mode="ink">
                <msink:context xmlns:msink="http://schemas.microsoft.com/ink/2010/main" type="inkWord" rotatedBoundingBox="21179,258368 21194,258368 21194,258383 21179,258383"/>
              </emma:interpretation>
            </emma:emma>
          </inkml:annotationXML>
          <inkml:trace contextRef="#ctx0" brushRef="#br0">27092 110156</inkml:trace>
        </inkml:traceGroup>
      </inkml:traceGroup>
    </inkml:traceGroup>
  </inkml:traceGroup>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1T05:02:52.07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5D9C9EBE-F521-4742-B4C2-60722732360E}" emma:medium="tactile" emma:mode="ink">
          <msink:context xmlns:msink="http://schemas.microsoft.com/ink/2010/main" type="writingRegion" rotatedBoundingBox="21179,269365 21194,269365 21194,269380 21179,269380"/>
        </emma:interpretation>
      </emma:emma>
    </inkml:annotationXML>
    <inkml:traceGroup>
      <inkml:annotationXML>
        <emma:emma xmlns:emma="http://www.w3.org/2003/04/emma" version="1.0">
          <emma:interpretation id="{D02FBFC8-2649-446A-B49E-C2F8310363C5}" emma:medium="tactile" emma:mode="ink">
            <msink:context xmlns:msink="http://schemas.microsoft.com/ink/2010/main" type="paragraph" rotatedBoundingBox="21179,269365 21194,269365 21194,269380 21179,269380" alignmentLevel="1"/>
          </emma:interpretation>
        </emma:emma>
      </inkml:annotationXML>
      <inkml:traceGroup>
        <inkml:annotationXML>
          <emma:emma xmlns:emma="http://www.w3.org/2003/04/emma" version="1.0">
            <emma:interpretation id="{CC405438-9C64-486A-BAA1-1BAA0B57FA2A}" emma:medium="tactile" emma:mode="ink">
              <msink:context xmlns:msink="http://schemas.microsoft.com/ink/2010/main" type="line" rotatedBoundingBox="21179,269365 21194,269365 21194,269380 21179,269380"/>
            </emma:interpretation>
          </emma:emma>
        </inkml:annotationXML>
        <inkml:traceGroup>
          <inkml:annotationXML>
            <emma:emma xmlns:emma="http://www.w3.org/2003/04/emma" version="1.0">
              <emma:interpretation id="{D4B58657-5F61-4238-A4F8-821341E98521}" emma:medium="tactile" emma:mode="ink">
                <msink:context xmlns:msink="http://schemas.microsoft.com/ink/2010/main" type="inkWord" rotatedBoundingBox="21179,269365 21194,269365 21194,269380 21179,269380"/>
              </emma:interpretation>
            </emma:emma>
          </inkml:annotationXML>
          <inkml:trace contextRef="#ctx0" brushRef="#br0">27092 110156</inkml:trace>
        </inkml:traceGroup>
      </inkml:traceGroup>
    </inkml:traceGroup>
  </inkml:traceGroup>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3T03:46:03.9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90D6F51E-7F8B-4785-AF03-DE48DC1605BA}" emma:medium="tactile" emma:mode="ink">
          <msink:context xmlns:msink="http://schemas.microsoft.com/ink/2010/main" type="writingRegion" rotatedBoundingBox="29684,280798 29699,280798 29699,280813 29684,280813"/>
        </emma:interpretation>
      </emma:emma>
    </inkml:annotationXML>
    <inkml:traceGroup>
      <inkml:annotationXML>
        <emma:emma xmlns:emma="http://www.w3.org/2003/04/emma" version="1.0">
          <emma:interpretation id="{45C13E46-1FB1-4D9D-891C-B8A5D4071282}" emma:medium="tactile" emma:mode="ink">
            <msink:context xmlns:msink="http://schemas.microsoft.com/ink/2010/main" type="paragraph" rotatedBoundingBox="29684,280798 29699,280798 29699,280813 29684,280813" alignmentLevel="1"/>
          </emma:interpretation>
        </emma:emma>
      </inkml:annotationXML>
      <inkml:traceGroup>
        <inkml:annotationXML>
          <emma:emma xmlns:emma="http://www.w3.org/2003/04/emma" version="1.0">
            <emma:interpretation id="{640788B5-9B7D-490E-90FF-DA8CE4B9DD34}" emma:medium="tactile" emma:mode="ink">
              <msink:context xmlns:msink="http://schemas.microsoft.com/ink/2010/main" type="line" rotatedBoundingBox="29684,280798 29699,280798 29699,280813 29684,280813"/>
            </emma:interpretation>
          </emma:emma>
        </inkml:annotationXML>
        <inkml:traceGroup>
          <inkml:annotationXML>
            <emma:emma xmlns:emma="http://www.w3.org/2003/04/emma" version="1.0">
              <emma:interpretation id="{6BC79ADC-FEEF-46D1-99B2-3D10C8E1723D}" emma:medium="tactile" emma:mode="ink">
                <msink:context xmlns:msink="http://schemas.microsoft.com/ink/2010/main" type="inkWord" rotatedBoundingBox="29684,280798 29699,280798 29699,280813 29684,280813"/>
              </emma:interpretation>
            </emma:emma>
          </inkml:annotationXML>
          <inkml:trace contextRef="#ctx0" brushRef="#br0">27092 110156</inkml:trace>
        </inkml:traceGroup>
      </inkml:traceGroup>
    </inkml:traceGroup>
  </inkml:traceGroup>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6-14T04:27:45.176"/>
    </inkml:context>
    <inkml:brush xml:id="br0">
      <inkml:brushProperty name="width" value="0.05292" units="cm"/>
      <inkml:brushProperty name="height" value="0.05292" units="cm"/>
      <inkml:brushProperty name="ignorePressure" value="1"/>
    </inkml:brush>
  </inkml:definitions>
  <inkml:traceGroup>
    <inkml:annotationXML>
      <emma:emma xmlns:emma="http://www.w3.org/2003/04/emma" version="1.0">
        <emma:interpretation id="{2D1F5020-CC66-412E-A36C-603C7095F8ED}" emma:medium="tactile" emma:mode="ink">
          <msink:context xmlns:msink="http://schemas.microsoft.com/ink/2010/main" type="writingRegion" rotatedBoundingBox="-20232,395 -20217,395 -20217,410 -20232,410"/>
        </emma:interpretation>
      </emma:emma>
    </inkml:annotationXML>
    <inkml:traceGroup>
      <inkml:annotationXML>
        <emma:emma xmlns:emma="http://www.w3.org/2003/04/emma" version="1.0">
          <emma:interpretation id="{C63B4253-9008-4263-9517-33129626756C}" emma:medium="tactile" emma:mode="ink">
            <msink:context xmlns:msink="http://schemas.microsoft.com/ink/2010/main" type="paragraph" rotatedBoundingBox="-20232,395 -20217,395 -20217,410 -20232,410" alignmentLevel="1"/>
          </emma:interpretation>
        </emma:emma>
      </inkml:annotationXML>
      <inkml:traceGroup>
        <inkml:annotationXML>
          <emma:emma xmlns:emma="http://www.w3.org/2003/04/emma" version="1.0">
            <emma:interpretation id="{7F79AF33-2D44-425D-9052-DBB3013B492F}" emma:medium="tactile" emma:mode="ink">
              <msink:context xmlns:msink="http://schemas.microsoft.com/ink/2010/main" type="line" rotatedBoundingBox="-20232,395 -20217,395 -20217,410 -20232,410"/>
            </emma:interpretation>
          </emma:emma>
        </inkml:annotationXML>
        <inkml:traceGroup>
          <inkml:annotationXML>
            <emma:emma xmlns:emma="http://www.w3.org/2003/04/emma" version="1.0">
              <emma:interpretation id="{3133A47E-65EA-49EE-A3B8-09223A40EB3D}" emma:medium="tactile" emma:mode="ink">
                <msink:context xmlns:msink="http://schemas.microsoft.com/ink/2010/main" type="inkWord" rotatedBoundingBox="-20232,395 -20217,395 -20217,410 -20232,410"/>
              </emma:interpretation>
            </emma:emma>
          </inkml:annotationXML>
          <inkml:trace contextRef="#ctx0" brushRef="#br0">-20232 396</inkml:trace>
        </inkml:traceGroup>
      </inkml:traceGroup>
    </inkml:traceGroup>
  </inkml:traceGroup>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7-31T02:17:57.59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26076 46369</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0"/>
    </inkml:context>
    <inkml:brush xml:id="br0">
      <inkml:brushProperty name="width" value="0.025" units="cm"/>
      <inkml:brushProperty name="height" value="0.025" units="cm"/>
      <inkml:brushProperty name="color" value="#ED1C24"/>
      <inkml:brushProperty name="ignorePressure" value="1"/>
    </inkml:brush>
  </inkml:definitions>
  <inkml:trace contextRef="#ctx0" brushRef="#br0">18603 6423</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1"/>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2:22.484"/>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501A6715-5090-4111-937B-1198740D21F8}" emma:medium="tactile" emma:mode="ink">
          <msink:context xmlns:msink="http://schemas.microsoft.com/ink/2010/main" type="inkDrawing"/>
        </emma:interpretation>
      </emma:emma>
    </inkml:annotationXML>
    <inkml:trace contextRef="#ctx0" brushRef="#br0">24721 72468</inkml:trace>
  </inkml:traceGroup>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2"/>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13332 7905</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3"/>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13438 7947</inkml:trace>
  <inkml:trace contextRef="#ctx0" brushRef="#br0" timeOffset="1">13859 7968</inkml:trace>
  <inkml:trace contextRef="#ctx0" brushRef="#br0" timeOffset="2">13859 7968</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6"/>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13862 7968</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7"/>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21461 10869</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8"/>
    </inkml:context>
    <inkml:brush xml:id="br0">
      <inkml:brushProperty name="width" value="0.0175" units="cm"/>
      <inkml:brushProperty name="height" value="0.0175" units="cm"/>
      <inkml:brushProperty name="ignorePressure" value="1"/>
    </inkml:brush>
  </inkml:definitions>
  <inkml:trace contextRef="#ctx0" brushRef="#br0">14475 7544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39"/>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0"/>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8-07-02T00:10:57.241"/>
    </inkml:context>
    <inkml:brush xml:id="br0">
      <inkml:brushProperty name="width" value="0.0175" units="cm"/>
      <inkml:brushProperty name="height" value="0.0175" units="cm"/>
      <inkml:brushProperty name="ignorePressure" value="1"/>
    </inkml:brush>
  </inkml:definitions>
  <inkml:trace contextRef="#ctx0" brushRef="#br0">14433 7544</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6"/>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28C56D80-D77B-485D-B751-937B332E72F1}" emma:medium="tactile" emma:mode="ink">
          <msink:context xmlns:msink="http://schemas.microsoft.com/ink/2010/main" type="inkDrawing"/>
        </emma:interpretation>
      </emma:emma>
    </inkml:annotationXML>
    <inkml:trace contextRef="#ctx0" brushRef="#br0">27092 110156</inkml:trace>
  </inkml:traceGroup>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8"/>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2F9A2A5-A945-4FD5-AF4E-17D43C70A97A}" emma:medium="tactile" emma:mode="ink">
          <msink:context xmlns:msink="http://schemas.microsoft.com/ink/2010/main" type="inkDrawing"/>
        </emma:interpretation>
      </emma:emma>
    </inkml:annotationXML>
    <inkml:trace contextRef="#ctx0" brushRef="#br0">27092 110156</inkml:trace>
  </inkml:traceGroup>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1-30T22:05:25.281"/>
    </inkml:context>
    <inkml:brush xml:id="br0">
      <inkml:brushProperty name="width" value="0.025" units="cm"/>
      <inkml:brushProperty name="height" value="0.025" units="cm"/>
      <inkml:brushProperty name="ignorePressure" value="1"/>
    </inkml:brush>
  </inkml:definitions>
  <inkml:traceGroup>
    <inkml:annotationXML>
      <emma:emma xmlns:emma="http://www.w3.org/2003/04/emma" version="1.0">
        <emma:interpretation id="{E41D3E96-BBD9-41A8-AB1C-129478643167}" emma:medium="tactile" emma:mode="ink">
          <msink:context xmlns:msink="http://schemas.microsoft.com/ink/2010/main" type="inkDrawing"/>
        </emma:interpretation>
      </emma:emma>
    </inkml:annotationXML>
    <inkml:trace contextRef="#ctx0" brushRef="#br0">30098 74984</inkml:trace>
  </inkml:traceGroup>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39"/>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E64D545C-1449-4479-BA6C-2367182BDF26}" emma:medium="tactile" emma:mode="ink">
          <msink:context xmlns:msink="http://schemas.microsoft.com/ink/2010/main" type="inkDrawing"/>
        </emma:interpretation>
      </emma:emma>
    </inkml:annotationXML>
    <inkml:trace contextRef="#ctx0" brushRef="#br0">27092 110156</inkml:trace>
  </inkml:traceGroup>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1"/>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CD3ACCE2-CE5E-4DC8-8C6B-25B25EB7DAD1}" emma:medium="tactile" emma:mode="ink">
          <msink:context xmlns:msink="http://schemas.microsoft.com/ink/2010/main" type="inkDrawing"/>
        </emma:interpretation>
      </emma:emma>
    </inkml:annotationXML>
    <inkml:trace contextRef="#ctx0" brushRef="#br0">27092 110156</inkml:trace>
  </inkml:traceGroup>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DC3EE0C0-BF3D-436A-B96F-062F9E0FDBB5}" emma:medium="tactile" emma:mode="ink">
          <msink:context xmlns:msink="http://schemas.microsoft.com/ink/2010/main" type="inkDrawing"/>
        </emma:interpretation>
      </emma:emma>
    </inkml:annotationXML>
    <inkml:trace contextRef="#ctx0" brushRef="#br0">27092 110156</inkml:trace>
  </inkml:traceGroup>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7-03-07T01:38:35.833"/>
    </inkml:context>
    <inkml:brush xml:id="br0">
      <inkml:brushProperty name="width" value="0.025" units="cm"/>
      <inkml:brushProperty name="height" value="0.025" units="cm"/>
    </inkml:brush>
    <inkml:context xml:id="ctx1">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1" timeString="2017-03-02T02:04:54.181"/>
    </inkml:context>
    <inkml:brush xml:id="br1">
      <inkml:brushProperty name="width" value="0.025" units="cm"/>
      <inkml:brushProperty name="height" value="0.025" units="cm"/>
      <inkml:brushProperty name="color" value="#3165BB"/>
      <inkml:brushProperty name="ignorePressure" value="1"/>
    </inkml:brush>
  </inkml:definitions>
  <inkml:traceGroup>
    <inkml:annotationXML>
      <emma:emma xmlns:emma="http://www.w3.org/2003/04/emma" version="1.0">
        <emma:interpretation id="{36B7E7B4-0554-426D-8CA4-CD52D6F7EC20}" emma:medium="tactile" emma:mode="ink">
          <msink:context xmlns:msink="http://schemas.microsoft.com/ink/2010/main" type="writingRegion" rotatedBoundingBox="29196,1827 29668,1827 29668,3214 29196,3214"/>
        </emma:interpretation>
      </emma:emma>
    </inkml:annotationXML>
    <inkml:traceGroup>
      <inkml:annotationXML>
        <emma:emma xmlns:emma="http://www.w3.org/2003/04/emma" version="1.0">
          <emma:interpretation id="{F0CD58C7-C9E8-45EB-B438-6DB6A45D9024}" emma:medium="tactile" emma:mode="ink">
            <msink:context xmlns:msink="http://schemas.microsoft.com/ink/2010/main" type="paragraph" rotatedBoundingBox="29196,1827 29668,1827 29668,3214 29196,3214" alignmentLevel="1"/>
          </emma:interpretation>
        </emma:emma>
      </inkml:annotationXML>
      <inkml:traceGroup>
        <inkml:annotationXML>
          <emma:emma xmlns:emma="http://www.w3.org/2003/04/emma" version="1.0">
            <emma:interpretation id="{260F6606-A835-4E26-9937-15419AC69574}" emma:medium="tactile" emma:mode="ink">
              <msink:context xmlns:msink="http://schemas.microsoft.com/ink/2010/main" type="line" rotatedBoundingBox="29196,1827 29668,1827 29668,3214 29196,3214"/>
            </emma:interpretation>
          </emma:emma>
        </inkml:annotationXML>
        <inkml:traceGroup>
          <inkml:annotationXML>
            <emma:emma xmlns:emma="http://www.w3.org/2003/04/emma" version="1.0">
              <emma:interpretation id="{E300AED3-F74C-4DB4-8861-E43EB79AAB7B}" emma:medium="tactile" emma:mode="ink">
                <msink:context xmlns:msink="http://schemas.microsoft.com/ink/2010/main" type="inkWord" rotatedBoundingBox="29196,3108 29222,3108 29222,3214 29196,3214"/>
              </emma:interpretation>
            </emma:emma>
          </inkml:annotationXML>
          <inkml:trace contextRef="#ctx0" brushRef="#br0">29223 3203 10496,'0'-65'3936,"-12"52"-2112,-1-14-3520,13 27 0,0 0-576,0 13 0,13 1-544,-1-1-224</inkml:trace>
        </inkml:traceGroup>
        <inkml:traceGroup>
          <inkml:annotationXML>
            <emma:emma xmlns:emma="http://www.w3.org/2003/04/emma" version="1.0">
              <emma:interpretation id="{CC57C83B-B8D1-4F82-B33D-2377DD855ECE}" emma:medium="tactile" emma:mode="ink">
                <msink:context xmlns:msink="http://schemas.microsoft.com/ink/2010/main" type="inkWord" rotatedBoundingBox="29653,1827 29668,1827 29668,1842 29653,1842"/>
              </emma:interpretation>
            </emma:emma>
          </inkml:annotationXML>
          <inkml:trace contextRef="#ctx1" brushRef="#br1">29641 1829</inkml:trace>
        </inkml:traceGroup>
      </inkml:traceGroup>
    </inkml:traceGroup>
  </inkml:traceGroup>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3-02T02:07:00.344"/>
    </inkml:context>
    <inkml:brush xml:id="br0">
      <inkml:brushProperty name="width" value="0.025" units="cm"/>
      <inkml:brushProperty name="height" value="0.025" units="cm"/>
      <inkml:brushProperty name="color" value="#ED1C24"/>
      <inkml:brushProperty name="ignorePressure" value="1"/>
    </inkml:brush>
  </inkml:definitions>
  <inkml:traceGroup>
    <inkml:annotationXML>
      <emma:emma xmlns:emma="http://www.w3.org/2003/04/emma" version="1.0">
        <emma:interpretation id="{B0A29CD2-C59C-42F7-808C-F31D6AA02B21}" emma:medium="tactile" emma:mode="ink">
          <msink:context xmlns:msink="http://schemas.microsoft.com/ink/2010/main" type="writingRegion" rotatedBoundingBox="29935,31655 29935,11029 29950,11029 29950,31655"/>
        </emma:interpretation>
      </emma:emma>
    </inkml:annotationXML>
    <inkml:traceGroup>
      <inkml:annotationXML>
        <emma:emma xmlns:emma="http://www.w3.org/2003/04/emma" version="1.0">
          <emma:interpretation id="{D71BF41F-2B7B-4D19-BEBD-5EA1BDE658BD}" emma:medium="tactile" emma:mode="ink">
            <msink:context xmlns:msink="http://schemas.microsoft.com/ink/2010/main" type="paragraph" rotatedBoundingBox="29935,31655 29935,11029 29950,11029 29950,31655" alignmentLevel="1"/>
          </emma:interpretation>
        </emma:emma>
      </inkml:annotationXML>
      <inkml:traceGroup>
        <inkml:annotationXML>
          <emma:emma xmlns:emma="http://www.w3.org/2003/04/emma" version="1.0">
            <emma:interpretation id="{A1C9260E-A2D7-45A9-9B90-17321B95F787}" emma:medium="tactile" emma:mode="ink">
              <msink:context xmlns:msink="http://schemas.microsoft.com/ink/2010/main" type="line" rotatedBoundingBox="29935,31655 29935,11029 29950,11029 29950,31655"/>
            </emma:interpretation>
          </emma:emma>
        </inkml:annotationXML>
        <inkml:traceGroup>
          <inkml:annotationXML>
            <emma:emma xmlns:emma="http://www.w3.org/2003/04/emma" version="1.0">
              <emma:interpretation id="{02E3587E-6AE6-49E9-BF27-4FEA1A1315C1}" emma:medium="tactile" emma:mode="ink">
                <msink:context xmlns:msink="http://schemas.microsoft.com/ink/2010/main" type="inkWord" rotatedBoundingBox="29935,31655 29935,31640 29950,31640 29950,31655"/>
              </emma:interpretation>
            </emma:emma>
          </inkml:annotationXML>
          <inkml:trace contextRef="#ctx0" brushRef="#br0">27092 108436</inkml:trace>
        </inkml:traceGroup>
        <inkml:traceGroup>
          <inkml:annotationXML>
            <emma:emma xmlns:emma="http://www.w3.org/2003/04/emma" version="1.0">
              <emma:interpretation id="{3570D789-D6D7-4AA3-AD03-FCEB478DB65E}" emma:medium="tactile" emma:mode="ink">
                <msink:context xmlns:msink="http://schemas.microsoft.com/ink/2010/main" type="inkWord" rotatedBoundingBox="29935,28229 29935,28214 29950,28214 29950,28229"/>
              </emma:interpretation>
            </emma:emma>
          </inkml:annotationXML>
          <inkml:trace contextRef="#ctx0" brushRef="#br0" timeOffset="-2">27092 105296</inkml:trace>
        </inkml:traceGroup>
        <inkml:traceGroup>
          <inkml:annotationXML>
            <emma:emma xmlns:emma="http://www.w3.org/2003/04/emma" version="1.0">
              <emma:interpretation id="{0BC57251-1E90-4B3E-AC5F-CECED5A756F3}" emma:medium="tactile" emma:mode="ink">
                <msink:context xmlns:msink="http://schemas.microsoft.com/ink/2010/main" type="inkWord" rotatedBoundingBox="29935,21376 29935,21361 29950,21361 29950,21376"/>
              </emma:interpretation>
            </emma:emma>
          </inkml:annotationXML>
          <inkml:trace contextRef="#ctx0" brushRef="#br0" timeOffset="-4">27092 99015</inkml:trace>
        </inkml:traceGroup>
        <inkml:traceGroup>
          <inkml:annotationXML>
            <emma:emma xmlns:emma="http://www.w3.org/2003/04/emma" version="1.0">
              <emma:interpretation id="{33149B62-6982-4D21-AB46-FC38BCBBF920}" emma:medium="tactile" emma:mode="ink">
                <msink:context xmlns:msink="http://schemas.microsoft.com/ink/2010/main" type="inkWord" rotatedBoundingBox="29935,11044 29935,11029 29950,11029 29950,11044"/>
              </emma:interpretation>
            </emma:emma>
          </inkml:annotationXML>
          <inkml:trace contextRef="#ctx0" brushRef="#br0" timeOffset="-7">27092 89545</inkml:trace>
        </inkml:traceGroup>
      </inkml:traceGroup>
    </inkml:traceGroup>
  </inkml:traceGroup>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7-04-06T03:30:27.604"/>
    </inkml:context>
    <inkml:brush xml:id="br0">
      <inkml:brushProperty name="width" value="0.025" units="cm"/>
      <inkml:brushProperty name="height" value="0.025" units="cm"/>
      <inkml:brushProperty name="color" value="#3165BB"/>
      <inkml:brushProperty name="ignorePressure" value="1"/>
    </inkml:brush>
  </inkml:definitions>
  <inkml:trace contextRef="#ctx0" brushRef="#br0">29653 1828</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33.bin"/><Relationship Id="rId4" Type="http://schemas.openxmlformats.org/officeDocument/2006/relationships/comments" Target="../comments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comments" Target="../comments5.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D4F0-A524-49BD-B0E6-A7185375D756}">
  <sheetPr>
    <tabColor theme="0" tint="-4.9989318521683403E-2"/>
    <pageSetUpPr fitToPage="1"/>
  </sheetPr>
  <dimension ref="A1:W34"/>
  <sheetViews>
    <sheetView workbookViewId="0"/>
  </sheetViews>
  <sheetFormatPr defaultRowHeight="12.75"/>
  <cols>
    <col min="2" max="2" width="29.28515625" customWidth="1"/>
    <col min="3" max="3" width="23.5703125" customWidth="1"/>
    <col min="18" max="18" width="4.5703125" customWidth="1"/>
    <col min="19" max="19" width="26" customWidth="1"/>
    <col min="22" max="22" width="3.5703125" customWidth="1"/>
    <col min="23" max="23" width="4.28515625" customWidth="1"/>
  </cols>
  <sheetData>
    <row r="1" spans="1:23">
      <c r="A1" s="4"/>
      <c r="B1" s="4"/>
      <c r="C1" s="4"/>
      <c r="D1" s="4"/>
      <c r="E1" s="4"/>
      <c r="F1" s="4"/>
      <c r="G1" s="4"/>
      <c r="H1" s="4"/>
      <c r="I1" s="4"/>
      <c r="J1" s="4"/>
      <c r="K1" s="4"/>
      <c r="L1" s="4"/>
      <c r="M1" s="4"/>
      <c r="N1" s="4"/>
      <c r="O1" s="4"/>
      <c r="P1" s="4"/>
      <c r="Q1" s="4"/>
      <c r="R1" s="4"/>
    </row>
    <row r="2" spans="1:23" ht="23.25" customHeight="1">
      <c r="A2" s="1533" t="s">
        <v>0</v>
      </c>
      <c r="B2" s="1534"/>
      <c r="C2" s="1202">
        <f ca="1">NOW()</f>
        <v>44595.448909375002</v>
      </c>
      <c r="D2" s="1193"/>
      <c r="E2" s="1110"/>
      <c r="F2" s="1110"/>
      <c r="G2" s="1110"/>
      <c r="H2" s="1110"/>
      <c r="I2" s="1110"/>
      <c r="J2" s="1110"/>
      <c r="K2" s="1110"/>
      <c r="M2" s="1194"/>
      <c r="N2" s="1194"/>
      <c r="O2" s="1195"/>
      <c r="P2" s="1196"/>
      <c r="Q2" s="1196"/>
      <c r="R2" s="1196"/>
      <c r="S2" s="1196"/>
      <c r="T2" s="1196"/>
      <c r="U2" s="1196"/>
      <c r="V2" s="1196"/>
      <c r="W2" s="1187"/>
    </row>
    <row r="3" spans="1:23" ht="45" customHeight="1">
      <c r="A3" s="1214" t="s">
        <v>39</v>
      </c>
      <c r="B3" s="1214"/>
      <c r="D3" s="1197"/>
      <c r="E3" s="1536" t="s">
        <v>1458</v>
      </c>
      <c r="F3" s="1536"/>
      <c r="G3" s="1536"/>
      <c r="H3" s="1536"/>
      <c r="I3" s="1536"/>
      <c r="J3" s="1536"/>
      <c r="K3" s="1110"/>
      <c r="L3" s="1110" t="e">
        <f>#REF!</f>
        <v>#REF!</v>
      </c>
      <c r="M3" s="1201"/>
      <c r="N3" s="1194"/>
      <c r="O3" s="1195"/>
      <c r="P3" s="1198"/>
      <c r="Q3" s="1199"/>
      <c r="R3" s="1200"/>
      <c r="S3" s="1200"/>
      <c r="T3" s="1200"/>
      <c r="U3" s="1200"/>
      <c r="V3" s="1200"/>
      <c r="W3" s="1069"/>
    </row>
    <row r="4" spans="1:23" ht="15">
      <c r="A4" s="1178"/>
      <c r="B4" s="1110"/>
      <c r="C4" s="1178"/>
      <c r="D4" s="1532" t="s">
        <v>1459</v>
      </c>
      <c r="E4" s="1532"/>
      <c r="F4" s="1532"/>
      <c r="G4" s="1532"/>
      <c r="H4" s="1532"/>
      <c r="I4" s="1532"/>
      <c r="J4" s="1532"/>
      <c r="K4" s="1110"/>
      <c r="L4" s="1110"/>
      <c r="M4" s="1110"/>
      <c r="N4" s="1110"/>
      <c r="O4" s="1110"/>
      <c r="P4" s="1110"/>
      <c r="Q4" s="1110"/>
      <c r="R4" s="1110"/>
      <c r="S4" s="1110"/>
      <c r="T4" s="1110"/>
      <c r="U4" s="1110"/>
      <c r="V4" s="1110"/>
    </row>
    <row r="5" spans="1:23" ht="15.75">
      <c r="A5" s="1085">
        <v>1</v>
      </c>
      <c r="B5" s="172"/>
      <c r="C5" s="15"/>
      <c r="D5" s="15"/>
      <c r="E5" s="15"/>
      <c r="F5" s="15"/>
      <c r="G5" s="15"/>
      <c r="H5" s="15"/>
    </row>
    <row r="6" spans="1:23" ht="15">
      <c r="B6" s="3"/>
      <c r="C6" s="684"/>
      <c r="D6" s="684"/>
      <c r="E6" s="684"/>
      <c r="F6" s="684"/>
      <c r="G6" s="684"/>
      <c r="H6" s="684"/>
      <c r="I6" s="684"/>
      <c r="J6" s="684"/>
      <c r="K6" s="684"/>
      <c r="L6" s="684"/>
      <c r="M6" s="684"/>
      <c r="N6" s="684"/>
      <c r="O6" s="684"/>
      <c r="P6" s="684"/>
      <c r="Q6" s="684"/>
      <c r="R6" s="684"/>
      <c r="S6" s="684"/>
    </row>
    <row r="7" spans="1:23" ht="15">
      <c r="A7" s="1085"/>
      <c r="B7" s="684"/>
      <c r="C7" s="684"/>
      <c r="D7" s="684"/>
      <c r="E7" s="684"/>
      <c r="F7" s="684"/>
      <c r="G7" s="684"/>
      <c r="H7" s="684"/>
      <c r="I7" s="684"/>
      <c r="J7" s="684"/>
      <c r="K7" s="684"/>
      <c r="L7" s="684"/>
      <c r="M7" s="684"/>
      <c r="N7" s="684"/>
      <c r="O7" s="684"/>
      <c r="P7" s="684"/>
      <c r="Q7" s="684"/>
      <c r="R7" s="684"/>
      <c r="S7" s="684"/>
    </row>
    <row r="8" spans="1:23" ht="15.75">
      <c r="A8" s="1085"/>
      <c r="B8" s="684"/>
      <c r="C8" s="1170"/>
      <c r="D8" s="684"/>
      <c r="E8" s="684"/>
      <c r="F8" s="684"/>
      <c r="G8" s="684"/>
      <c r="H8" s="684"/>
      <c r="I8" s="684"/>
      <c r="J8" s="684"/>
      <c r="K8" s="684"/>
      <c r="L8" s="684"/>
      <c r="M8" s="684"/>
      <c r="N8" s="684"/>
      <c r="O8" s="684"/>
      <c r="P8" s="684"/>
      <c r="Q8" s="684"/>
      <c r="R8" s="684"/>
      <c r="S8" s="684"/>
    </row>
    <row r="9" spans="1:23" ht="15">
      <c r="A9" s="1085"/>
      <c r="B9" s="684"/>
      <c r="C9" s="684"/>
      <c r="D9" s="684"/>
      <c r="E9" s="684"/>
      <c r="F9" s="684"/>
      <c r="G9" s="684"/>
      <c r="H9" s="684"/>
      <c r="I9" s="684"/>
      <c r="J9" s="684"/>
      <c r="K9" s="684"/>
      <c r="L9" s="684"/>
      <c r="M9" s="684"/>
      <c r="N9" s="684"/>
      <c r="O9" s="684"/>
      <c r="P9" s="684"/>
      <c r="Q9" s="684"/>
      <c r="R9" s="684"/>
      <c r="S9" s="684"/>
    </row>
    <row r="10" spans="1:23" ht="15">
      <c r="A10" s="1085"/>
      <c r="B10" s="684"/>
      <c r="C10" s="684"/>
      <c r="D10" s="684"/>
      <c r="E10" s="684"/>
      <c r="F10" s="684"/>
      <c r="G10" s="684"/>
      <c r="H10" s="684"/>
      <c r="I10" s="684"/>
      <c r="J10" s="684"/>
      <c r="K10" s="684"/>
      <c r="L10" s="684"/>
      <c r="M10" s="684"/>
      <c r="N10" s="684"/>
      <c r="O10" s="684"/>
      <c r="P10" s="684"/>
      <c r="Q10" s="684"/>
      <c r="R10" s="684"/>
      <c r="S10" s="684"/>
    </row>
    <row r="11" spans="1:23" ht="15.75">
      <c r="A11" s="1085">
        <v>2</v>
      </c>
      <c r="B11" s="172"/>
      <c r="C11" s="684"/>
      <c r="D11" s="684"/>
      <c r="E11" s="684"/>
      <c r="F11" s="684"/>
      <c r="G11" s="684"/>
      <c r="H11" s="684"/>
      <c r="I11" s="684"/>
      <c r="J11" s="684"/>
      <c r="K11" s="684"/>
      <c r="L11" s="684"/>
      <c r="M11" s="684"/>
      <c r="N11" s="684"/>
      <c r="O11" s="684"/>
      <c r="P11" s="684"/>
      <c r="Q11" s="684"/>
      <c r="R11" s="684"/>
      <c r="S11" s="684"/>
    </row>
    <row r="12" spans="1:23" ht="15">
      <c r="B12" s="3"/>
      <c r="C12" s="684"/>
      <c r="D12" s="684"/>
      <c r="E12" s="684"/>
      <c r="F12" s="684"/>
      <c r="G12" s="684"/>
      <c r="H12" s="684"/>
      <c r="I12" s="684"/>
      <c r="J12" s="684"/>
      <c r="K12" s="684"/>
      <c r="L12" s="684"/>
      <c r="M12" s="684"/>
      <c r="N12" s="684"/>
      <c r="O12" s="684"/>
      <c r="P12" s="684"/>
      <c r="Q12" s="684"/>
      <c r="R12" s="684"/>
      <c r="S12" s="684"/>
    </row>
    <row r="13" spans="1:23" ht="15">
      <c r="B13" s="3"/>
      <c r="C13" s="684"/>
      <c r="D13" s="684"/>
      <c r="E13" s="684"/>
      <c r="F13" s="684"/>
      <c r="G13" s="684"/>
      <c r="H13" s="684"/>
      <c r="I13" s="684"/>
      <c r="J13" s="684"/>
      <c r="K13" s="684"/>
      <c r="L13" s="684"/>
      <c r="M13" s="684"/>
      <c r="N13" s="684"/>
      <c r="O13" s="684"/>
      <c r="P13" s="684"/>
      <c r="Q13" s="684"/>
      <c r="R13" s="684"/>
      <c r="S13" s="684"/>
    </row>
    <row r="14" spans="1:23" ht="15">
      <c r="A14" s="1085">
        <v>3</v>
      </c>
      <c r="B14" s="684"/>
      <c r="C14" s="684"/>
      <c r="D14" s="684"/>
      <c r="E14" s="684"/>
      <c r="F14" s="684"/>
      <c r="G14" s="684"/>
      <c r="H14" s="684"/>
      <c r="I14" s="684"/>
      <c r="J14" s="684"/>
      <c r="K14" s="684"/>
      <c r="L14" s="684"/>
      <c r="M14" s="684"/>
      <c r="N14" s="684"/>
      <c r="O14" s="684"/>
      <c r="P14" s="684"/>
      <c r="Q14" s="684"/>
      <c r="R14" s="684"/>
      <c r="S14" s="684"/>
    </row>
    <row r="15" spans="1:23" ht="15">
      <c r="B15" s="3"/>
      <c r="C15" s="684"/>
      <c r="D15" s="684"/>
      <c r="E15" s="684"/>
      <c r="F15" s="684"/>
      <c r="G15" s="684"/>
      <c r="H15" s="684"/>
      <c r="I15" s="684"/>
      <c r="J15" s="684"/>
      <c r="K15" s="684"/>
      <c r="L15" s="684"/>
      <c r="M15" s="684"/>
      <c r="N15" s="684"/>
      <c r="O15" s="684"/>
      <c r="P15" s="684"/>
      <c r="Q15" s="684"/>
      <c r="R15" s="684"/>
      <c r="S15" s="684"/>
    </row>
    <row r="16" spans="1:23" ht="15">
      <c r="A16" s="1085"/>
      <c r="B16" s="684"/>
      <c r="C16" s="684"/>
      <c r="D16" s="684"/>
      <c r="E16" s="684"/>
      <c r="F16" s="684"/>
      <c r="G16" s="684"/>
      <c r="H16" s="684"/>
      <c r="I16" s="684"/>
      <c r="J16" s="684"/>
      <c r="K16" s="684"/>
      <c r="L16" s="684"/>
      <c r="M16" s="684"/>
      <c r="N16" s="684"/>
      <c r="O16" s="684"/>
      <c r="P16" s="684"/>
      <c r="Q16" s="684"/>
      <c r="R16" s="684"/>
      <c r="S16" s="684"/>
    </row>
    <row r="17" spans="1:20" ht="15">
      <c r="A17" s="1085"/>
      <c r="B17" s="684"/>
      <c r="C17" s="684"/>
      <c r="D17" s="684"/>
      <c r="E17" s="684"/>
      <c r="F17" s="684"/>
      <c r="G17" s="684"/>
      <c r="H17" s="684"/>
      <c r="I17" s="684"/>
      <c r="J17" s="684"/>
      <c r="K17" s="684"/>
      <c r="L17" s="684"/>
      <c r="M17" s="684"/>
      <c r="N17" s="684"/>
      <c r="O17" s="684"/>
      <c r="P17" s="684"/>
      <c r="Q17" s="684"/>
      <c r="R17" s="684"/>
      <c r="S17" s="684"/>
    </row>
    <row r="18" spans="1:20" ht="15">
      <c r="A18" s="1085">
        <v>4</v>
      </c>
      <c r="B18" s="684"/>
      <c r="C18" s="684"/>
      <c r="D18" s="684"/>
      <c r="E18" s="684"/>
      <c r="F18" s="684"/>
      <c r="G18" s="684"/>
      <c r="H18" s="684"/>
      <c r="I18" s="684"/>
      <c r="J18" s="684"/>
      <c r="K18" s="684"/>
      <c r="L18" s="684"/>
      <c r="M18" s="684"/>
      <c r="N18" s="684"/>
      <c r="O18" s="684"/>
      <c r="P18" s="684"/>
      <c r="Q18" s="684"/>
      <c r="R18" s="684"/>
      <c r="S18" s="684"/>
    </row>
    <row r="19" spans="1:20" ht="15">
      <c r="B19" s="3"/>
      <c r="C19" s="684"/>
      <c r="D19" s="684"/>
      <c r="E19" s="684"/>
      <c r="F19" s="684"/>
      <c r="G19" s="684"/>
      <c r="H19" s="684"/>
      <c r="I19" s="684"/>
      <c r="J19" s="684"/>
      <c r="K19" s="684"/>
      <c r="L19" s="684"/>
      <c r="M19" s="684"/>
      <c r="N19" s="684"/>
      <c r="O19" s="684"/>
      <c r="P19" s="684"/>
      <c r="Q19" s="684"/>
      <c r="R19" s="684"/>
      <c r="S19" s="684"/>
    </row>
    <row r="20" spans="1:20" ht="15">
      <c r="A20" s="1085"/>
      <c r="B20" s="684"/>
      <c r="C20" s="684"/>
      <c r="D20" s="684"/>
      <c r="E20" s="684"/>
      <c r="F20" s="684"/>
      <c r="G20" s="684"/>
      <c r="H20" s="684"/>
      <c r="I20" s="684"/>
      <c r="J20" s="684"/>
      <c r="K20" s="684"/>
      <c r="L20" s="684"/>
      <c r="M20" s="684"/>
      <c r="N20" s="684"/>
      <c r="O20" s="684"/>
      <c r="P20" s="684"/>
      <c r="Q20" s="684"/>
      <c r="R20" s="684"/>
      <c r="S20" s="684"/>
    </row>
    <row r="21" spans="1:20" ht="15">
      <c r="A21" s="1085">
        <v>5</v>
      </c>
      <c r="B21" s="684"/>
      <c r="C21" s="684"/>
      <c r="D21" s="684"/>
      <c r="E21" s="684"/>
      <c r="F21" s="684"/>
      <c r="G21" s="684"/>
      <c r="H21" s="684"/>
      <c r="I21" s="684"/>
      <c r="J21" s="684"/>
      <c r="K21" s="684"/>
      <c r="L21" s="684"/>
      <c r="M21" s="684"/>
      <c r="N21" s="684"/>
      <c r="O21" s="684"/>
      <c r="P21" s="684"/>
      <c r="Q21" s="684"/>
      <c r="R21" s="684"/>
      <c r="S21" s="684"/>
    </row>
    <row r="22" spans="1:20" ht="15">
      <c r="A22" s="1085"/>
      <c r="C22" s="684"/>
      <c r="D22" s="684"/>
      <c r="E22" s="684"/>
      <c r="F22" s="684"/>
      <c r="G22" s="684"/>
      <c r="H22" s="684"/>
      <c r="I22" s="684"/>
      <c r="J22" s="684"/>
      <c r="K22" s="684"/>
      <c r="L22" s="684"/>
      <c r="M22" s="684"/>
      <c r="N22" s="684"/>
      <c r="O22" s="684"/>
      <c r="P22" s="684"/>
      <c r="Q22" s="684"/>
      <c r="R22" s="684"/>
      <c r="S22" s="684"/>
    </row>
    <row r="23" spans="1:20" ht="15">
      <c r="A23" s="1085"/>
      <c r="B23" s="684"/>
      <c r="C23" s="684"/>
      <c r="D23" s="684"/>
      <c r="E23" s="684"/>
      <c r="F23" s="684"/>
      <c r="G23" s="684"/>
      <c r="H23" s="684"/>
      <c r="I23" s="684"/>
      <c r="J23" s="684"/>
      <c r="K23" s="684"/>
      <c r="L23" s="684"/>
      <c r="M23" s="684"/>
      <c r="N23" s="684"/>
      <c r="O23" s="684"/>
      <c r="P23" s="684"/>
      <c r="Q23" s="684"/>
      <c r="R23" s="684"/>
      <c r="S23" s="684"/>
    </row>
    <row r="24" spans="1:20" ht="15">
      <c r="A24" s="1085">
        <v>6</v>
      </c>
      <c r="B24" s="684"/>
      <c r="C24" s="684"/>
      <c r="D24" s="684"/>
      <c r="E24" s="684"/>
      <c r="F24" s="684"/>
      <c r="G24" s="684"/>
      <c r="H24" s="684"/>
      <c r="I24" s="684"/>
      <c r="J24" s="684"/>
      <c r="K24" s="684"/>
      <c r="L24" s="684"/>
      <c r="M24" s="684"/>
      <c r="N24" s="684"/>
      <c r="O24" s="684"/>
      <c r="P24" s="684"/>
      <c r="Q24" s="684"/>
      <c r="R24" s="684"/>
      <c r="S24" s="684"/>
    </row>
    <row r="25" spans="1:20" ht="15">
      <c r="A25" s="1085"/>
      <c r="B25" s="3"/>
      <c r="C25" s="684"/>
      <c r="D25" s="684"/>
      <c r="E25" s="684"/>
      <c r="F25" s="684"/>
      <c r="G25" s="684"/>
      <c r="H25" s="684"/>
      <c r="I25" s="684"/>
      <c r="J25" s="684"/>
      <c r="K25" s="684"/>
      <c r="L25" s="684"/>
      <c r="M25" s="684"/>
      <c r="N25" s="684"/>
      <c r="O25" s="684"/>
      <c r="P25" s="684"/>
      <c r="Q25" s="684"/>
      <c r="R25" s="684"/>
      <c r="S25" s="684"/>
    </row>
    <row r="26" spans="1:20" ht="15">
      <c r="A26" s="1085"/>
      <c r="B26" s="684"/>
      <c r="C26" s="684"/>
      <c r="D26" s="684"/>
      <c r="E26" s="684"/>
      <c r="F26" s="684"/>
      <c r="G26" s="684"/>
      <c r="H26" s="684"/>
      <c r="I26" s="684"/>
      <c r="J26" s="684"/>
      <c r="K26" s="684"/>
      <c r="L26" s="684"/>
      <c r="M26" s="684"/>
      <c r="N26" s="684"/>
      <c r="O26" s="684"/>
      <c r="P26" s="684"/>
      <c r="Q26" s="684"/>
      <c r="R26" s="684"/>
      <c r="S26" s="684"/>
    </row>
    <row r="27" spans="1:20" ht="15">
      <c r="A27" s="1085">
        <v>7</v>
      </c>
      <c r="B27" s="684"/>
      <c r="D27" s="684"/>
      <c r="E27" s="684"/>
      <c r="F27" s="684"/>
      <c r="G27" s="684"/>
      <c r="H27" s="684"/>
      <c r="I27" s="684"/>
      <c r="J27" s="684"/>
      <c r="K27" s="684"/>
      <c r="L27" s="684"/>
      <c r="M27" s="684"/>
      <c r="N27" s="684"/>
      <c r="O27" s="684"/>
      <c r="P27" s="684"/>
      <c r="Q27" s="684"/>
      <c r="R27" s="684"/>
      <c r="S27" s="684"/>
    </row>
    <row r="28" spans="1:20" ht="15">
      <c r="A28" s="684"/>
      <c r="B28" s="1314"/>
      <c r="C28" s="684"/>
      <c r="D28" s="684"/>
      <c r="E28" s="684"/>
      <c r="F28" s="684"/>
      <c r="G28" s="684"/>
      <c r="H28" s="684"/>
      <c r="I28" s="684"/>
      <c r="J28" s="684"/>
      <c r="K28" s="684"/>
      <c r="L28" s="684"/>
      <c r="M28" s="684"/>
      <c r="N28" s="684"/>
      <c r="O28" s="684"/>
      <c r="P28" s="684"/>
      <c r="Q28" s="684"/>
      <c r="R28" s="684"/>
      <c r="S28" s="684"/>
    </row>
    <row r="29" spans="1:20" ht="15">
      <c r="A29" s="859"/>
      <c r="B29" s="859"/>
      <c r="C29" s="859"/>
      <c r="D29" s="859"/>
      <c r="E29" s="859"/>
      <c r="F29" s="859"/>
      <c r="G29" s="859"/>
      <c r="H29" s="859"/>
      <c r="I29" s="859"/>
      <c r="J29" s="859"/>
      <c r="K29" s="859"/>
      <c r="L29" s="859"/>
      <c r="M29" s="859"/>
      <c r="N29" s="859"/>
      <c r="O29" s="859"/>
      <c r="P29" s="859"/>
      <c r="Q29" s="859"/>
      <c r="R29" s="859"/>
      <c r="S29" s="859"/>
      <c r="T29" s="4"/>
    </row>
    <row r="30" spans="1:20" ht="15">
      <c r="E30" s="1535"/>
      <c r="F30" s="1535"/>
      <c r="G30" s="1535"/>
      <c r="H30" s="1535"/>
      <c r="I30" s="1535"/>
      <c r="J30" s="1535"/>
    </row>
    <row r="34" spans="3:3" ht="15">
      <c r="C34" s="684"/>
    </row>
  </sheetData>
  <mergeCells count="4">
    <mergeCell ref="D4:J4"/>
    <mergeCell ref="A2:B2"/>
    <mergeCell ref="E30:J30"/>
    <mergeCell ref="E3:J3"/>
  </mergeCells>
  <pageMargins left="0.7" right="0.7" top="0.75" bottom="0.75" header="0.3" footer="0.3"/>
  <pageSetup paperSize="9" scale="4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F22F-8DA1-4BD1-BE4F-3936978B63CA}">
  <dimension ref="A1:AF236"/>
  <sheetViews>
    <sheetView workbookViewId="0">
      <selection activeCell="F9" sqref="F9"/>
    </sheetView>
  </sheetViews>
  <sheetFormatPr defaultRowHeight="12.75"/>
  <sheetData>
    <row r="1" spans="1:29" ht="18">
      <c r="A1" s="1032"/>
      <c r="B1" s="1032"/>
      <c r="C1" s="1032"/>
      <c r="D1" s="1032"/>
      <c r="E1" s="1032"/>
      <c r="G1" s="1363"/>
      <c r="H1" s="1363"/>
      <c r="I1" s="1363"/>
      <c r="J1" s="1363"/>
      <c r="M1" s="979"/>
      <c r="N1" s="979"/>
      <c r="O1" s="718"/>
      <c r="P1" s="719"/>
      <c r="T1" s="6"/>
      <c r="U1" s="6"/>
      <c r="V1" s="1446"/>
      <c r="W1" s="1614" t="s">
        <v>444</v>
      </c>
      <c r="X1" s="1594"/>
      <c r="Y1" s="1594"/>
      <c r="Z1" s="1594"/>
      <c r="AA1" s="1595"/>
      <c r="AB1" s="1346" t="s">
        <v>333</v>
      </c>
      <c r="AC1" s="684"/>
    </row>
    <row r="2" spans="1:29" ht="15.75">
      <c r="A2" s="630" t="s">
        <v>444</v>
      </c>
      <c r="B2" s="747"/>
      <c r="C2" s="748"/>
      <c r="D2" s="749"/>
      <c r="E2" s="34"/>
      <c r="F2" s="34">
        <v>0</v>
      </c>
      <c r="G2" s="34">
        <f t="shared" ref="G2:P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c r="R2" s="34">
        <v>0</v>
      </c>
      <c r="S2" s="34">
        <f t="shared" ref="S2:AB3" si="1">R2+1</f>
        <v>1</v>
      </c>
      <c r="T2" s="34">
        <f t="shared" si="1"/>
        <v>2</v>
      </c>
      <c r="U2" s="34">
        <f t="shared" si="1"/>
        <v>3</v>
      </c>
      <c r="V2" s="34">
        <f t="shared" si="1"/>
        <v>4</v>
      </c>
      <c r="W2" s="34">
        <f t="shared" si="1"/>
        <v>5</v>
      </c>
      <c r="X2" s="34">
        <f t="shared" si="1"/>
        <v>6</v>
      </c>
      <c r="Y2" s="34">
        <f t="shared" si="1"/>
        <v>7</v>
      </c>
      <c r="Z2" s="34">
        <f t="shared" si="1"/>
        <v>8</v>
      </c>
      <c r="AA2" s="34">
        <f t="shared" si="1"/>
        <v>9</v>
      </c>
      <c r="AB2" s="34">
        <f t="shared" si="1"/>
        <v>10</v>
      </c>
    </row>
    <row r="3" spans="1:29">
      <c r="A3" s="960"/>
      <c r="B3" s="6"/>
      <c r="C3" s="983"/>
      <c r="D3" s="983"/>
      <c r="E3" s="1276" t="s">
        <v>44</v>
      </c>
      <c r="F3" s="980">
        <v>1999</v>
      </c>
      <c r="G3" s="980">
        <f t="shared" si="0"/>
        <v>2000</v>
      </c>
      <c r="H3" s="980">
        <f t="shared" si="0"/>
        <v>2001</v>
      </c>
      <c r="I3" s="980">
        <f t="shared" si="0"/>
        <v>2002</v>
      </c>
      <c r="J3" s="980">
        <f t="shared" si="0"/>
        <v>2003</v>
      </c>
      <c r="K3" s="980">
        <f t="shared" si="0"/>
        <v>2004</v>
      </c>
      <c r="L3" s="980">
        <f t="shared" si="0"/>
        <v>2005</v>
      </c>
      <c r="M3" s="980">
        <f t="shared" si="0"/>
        <v>2006</v>
      </c>
      <c r="N3" s="980">
        <v>2007</v>
      </c>
      <c r="O3" s="980">
        <f>N3+1</f>
        <v>2008</v>
      </c>
      <c r="P3" s="980">
        <f>O3+1</f>
        <v>2009</v>
      </c>
      <c r="Q3" s="980">
        <f>P3+1</f>
        <v>2010</v>
      </c>
      <c r="R3" s="980">
        <f>Q3+1</f>
        <v>2011</v>
      </c>
      <c r="S3" s="980">
        <f t="shared" si="1"/>
        <v>2012</v>
      </c>
      <c r="T3" s="980">
        <f t="shared" si="1"/>
        <v>2013</v>
      </c>
      <c r="U3" s="980">
        <f t="shared" si="1"/>
        <v>2014</v>
      </c>
      <c r="V3" s="980">
        <f t="shared" si="1"/>
        <v>2015</v>
      </c>
      <c r="W3" s="980">
        <f t="shared" si="1"/>
        <v>2016</v>
      </c>
      <c r="X3" s="980">
        <f t="shared" si="1"/>
        <v>2017</v>
      </c>
      <c r="Y3" s="980">
        <f t="shared" si="1"/>
        <v>2018</v>
      </c>
      <c r="Z3" s="980">
        <f t="shared" si="1"/>
        <v>2019</v>
      </c>
      <c r="AA3" s="980">
        <f t="shared" si="1"/>
        <v>2020</v>
      </c>
      <c r="AB3" s="980">
        <f t="shared" si="1"/>
        <v>2021</v>
      </c>
      <c r="AC3" s="988"/>
    </row>
    <row r="4" spans="1:29">
      <c r="A4" s="811" t="s">
        <v>445</v>
      </c>
      <c r="B4" s="811"/>
      <c r="C4" s="811"/>
      <c r="D4" s="1203"/>
      <c r="E4" s="1447">
        <v>1998</v>
      </c>
      <c r="F4" s="714"/>
      <c r="G4" s="714"/>
      <c r="H4" s="714"/>
      <c r="I4" s="714"/>
      <c r="J4" s="714"/>
      <c r="K4" s="714"/>
      <c r="L4" s="714"/>
      <c r="M4" s="714"/>
      <c r="N4" s="714"/>
      <c r="O4" s="714"/>
      <c r="P4" s="714"/>
      <c r="Q4" s="714"/>
      <c r="R4" s="714"/>
      <c r="S4" s="714"/>
      <c r="T4" s="714"/>
      <c r="U4" s="714"/>
      <c r="V4" s="714"/>
      <c r="W4" s="714"/>
      <c r="X4" s="714"/>
      <c r="Y4" s="714"/>
      <c r="Z4" s="714"/>
      <c r="AA4" s="714"/>
      <c r="AB4" s="34"/>
      <c r="AC4" s="34"/>
    </row>
    <row r="5" spans="1:29" ht="15">
      <c r="A5" s="1292"/>
      <c r="B5" s="1292"/>
      <c r="C5" s="1250" t="s">
        <v>431</v>
      </c>
      <c r="D5" s="1292"/>
      <c r="E5" s="34"/>
      <c r="F5" s="714"/>
      <c r="G5" s="714"/>
      <c r="H5" s="714"/>
      <c r="I5" s="714"/>
      <c r="J5" s="714"/>
      <c r="K5" s="714"/>
      <c r="L5" s="714"/>
      <c r="M5" s="714"/>
      <c r="N5" s="714"/>
      <c r="O5" s="714"/>
      <c r="P5" s="714"/>
      <c r="Q5" s="714"/>
      <c r="R5" s="714"/>
      <c r="S5" s="714"/>
      <c r="T5" s="714"/>
      <c r="U5" s="714"/>
      <c r="V5" s="714"/>
      <c r="W5" s="714"/>
      <c r="X5" s="714"/>
      <c r="Y5" s="714"/>
      <c r="Z5" s="714"/>
      <c r="AA5" s="714"/>
      <c r="AB5" s="34"/>
      <c r="AC5" s="34"/>
    </row>
    <row r="6" spans="1:29">
      <c r="A6" s="34"/>
      <c r="B6" s="34"/>
      <c r="C6" s="1366" t="s">
        <v>446</v>
      </c>
      <c r="D6" s="1367"/>
      <c r="E6" s="690">
        <f>J39</f>
        <v>5.38</v>
      </c>
      <c r="F6" s="812">
        <f>J51</f>
        <v>7.1714000000000002</v>
      </c>
      <c r="G6" s="812">
        <f>J63</f>
        <v>6.1494999999999997</v>
      </c>
      <c r="H6" s="812">
        <f>J75</f>
        <v>6.6215999999999999</v>
      </c>
      <c r="I6" s="812">
        <f>J87</f>
        <v>6.2770000000000001</v>
      </c>
      <c r="J6" s="812">
        <f>O27</f>
        <v>6.0488</v>
      </c>
      <c r="K6" s="812">
        <f>O39</f>
        <v>5.9526000000000003</v>
      </c>
      <c r="L6" s="812">
        <f>O51</f>
        <v>5.8304999999999998</v>
      </c>
      <c r="M6" s="812">
        <f>O63</f>
        <v>5.7671000000000001</v>
      </c>
      <c r="N6" s="812">
        <f>O75</f>
        <v>6.3949999999999996</v>
      </c>
      <c r="O6" s="812">
        <f>O87</f>
        <v>4.8771000000000004</v>
      </c>
      <c r="P6" s="812">
        <f>T27</f>
        <v>6.0174000000000003</v>
      </c>
      <c r="Q6" s="1234">
        <f>T39</f>
        <v>5.82</v>
      </c>
      <c r="R6" s="1235">
        <f>T51</f>
        <v>3.91</v>
      </c>
      <c r="S6" s="1235">
        <f>T63</f>
        <v>3.56</v>
      </c>
      <c r="T6" s="1235">
        <f>T75</f>
        <v>4.76</v>
      </c>
      <c r="U6" s="1235">
        <f>T87</f>
        <v>3.77</v>
      </c>
      <c r="V6" s="1235">
        <f>Y27</f>
        <v>3.55</v>
      </c>
      <c r="W6" s="1235">
        <f>Y39</f>
        <v>3.33</v>
      </c>
      <c r="X6" s="1235">
        <f>Y51</f>
        <v>2.76</v>
      </c>
      <c r="Y6" s="1236">
        <f>Y63</f>
        <v>2.4500000000000002</v>
      </c>
      <c r="Z6" s="1236">
        <f>Y75</f>
        <v>1.53</v>
      </c>
      <c r="AA6" s="1236">
        <f>Y87</f>
        <v>0.92</v>
      </c>
      <c r="AB6" s="1237">
        <f>AD39</f>
        <v>2.37</v>
      </c>
      <c r="AC6" s="34"/>
    </row>
    <row r="7" spans="1:29">
      <c r="A7" s="34"/>
      <c r="B7" s="34"/>
      <c r="C7" s="1368" t="s">
        <v>447</v>
      </c>
      <c r="D7" s="1369"/>
      <c r="E7" s="690">
        <f>J28</f>
        <v>6.74</v>
      </c>
      <c r="F7" s="813">
        <f>J45</f>
        <v>6.5148000000000001</v>
      </c>
      <c r="G7" s="813">
        <f>J52</f>
        <v>7.4763000000000002</v>
      </c>
      <c r="H7" s="813">
        <f>J64</f>
        <v>6.0586000000000002</v>
      </c>
      <c r="I7" s="813">
        <f>J76</f>
        <v>6.5810000000000004</v>
      </c>
      <c r="J7" s="813">
        <f>J88</f>
        <v>6.1193</v>
      </c>
      <c r="K7" s="813">
        <f>O40</f>
        <v>5.9904999999999999</v>
      </c>
      <c r="L7" s="813">
        <f>O40</f>
        <v>5.9904999999999999</v>
      </c>
      <c r="M7" s="813">
        <f>O52</f>
        <v>5.7240000000000002</v>
      </c>
      <c r="N7" s="813">
        <f>O64</f>
        <v>5.9302000000000001</v>
      </c>
      <c r="O7" s="813">
        <f>O76</f>
        <v>6.2826000000000004</v>
      </c>
      <c r="P7" s="813">
        <f>O88</f>
        <v>4.4874999999999998</v>
      </c>
      <c r="Q7" s="1238">
        <f>T28</f>
        <v>5.9954999999999998</v>
      </c>
      <c r="R7" s="1239">
        <f>T40</f>
        <v>5.61</v>
      </c>
      <c r="S7" s="1239">
        <f>T52</f>
        <v>3.86</v>
      </c>
      <c r="T7" s="1239">
        <f>T64</f>
        <v>3.55</v>
      </c>
      <c r="U7" s="1239">
        <f>T76</f>
        <v>4.6399999999999997</v>
      </c>
      <c r="V7" s="1239">
        <f>T88</f>
        <v>3.42</v>
      </c>
      <c r="W7" s="1239">
        <f>Y28</f>
        <v>3.31</v>
      </c>
      <c r="X7" s="1239">
        <f>Y40</f>
        <v>3.23</v>
      </c>
      <c r="Y7" s="1240">
        <f>Y52</f>
        <v>2.88</v>
      </c>
      <c r="Z7" s="1240">
        <f>Y64</f>
        <v>2.33</v>
      </c>
      <c r="AA7" s="1240">
        <f>Y76</f>
        <v>1.48</v>
      </c>
      <c r="AB7" s="1240">
        <f>Y88</f>
        <v>1.04</v>
      </c>
      <c r="AC7" s="34"/>
    </row>
    <row r="8" spans="1:29">
      <c r="A8" s="34"/>
      <c r="B8" s="34"/>
      <c r="C8" s="1370" t="s">
        <v>448</v>
      </c>
      <c r="D8" s="1371"/>
      <c r="E8" s="690">
        <f>J30</f>
        <v>6.93</v>
      </c>
      <c r="F8" s="814">
        <f>J42</f>
        <v>5.8377999999999997</v>
      </c>
      <c r="G8" s="814">
        <f>J54</f>
        <v>7.0556999999999999</v>
      </c>
      <c r="H8" s="814">
        <f>J66</f>
        <v>5.95</v>
      </c>
      <c r="I8" s="814">
        <f>J78</f>
        <v>6.8840000000000003</v>
      </c>
      <c r="J8" s="814">
        <f>J90</f>
        <v>5.9123999999999999</v>
      </c>
      <c r="K8" s="814">
        <f>O30</f>
        <v>5.7411000000000003</v>
      </c>
      <c r="L8" s="814">
        <f>O42</f>
        <v>6.1614000000000004</v>
      </c>
      <c r="M8" s="815">
        <f>O54</f>
        <v>5.7187000000000001</v>
      </c>
      <c r="N8" s="814">
        <f>O66</f>
        <v>5.8685999999999998</v>
      </c>
      <c r="O8" s="814">
        <f>O78</f>
        <v>6.3628999999999998</v>
      </c>
      <c r="P8" s="814">
        <f>O90</f>
        <v>4.7744999999999997</v>
      </c>
      <c r="Q8" s="1241">
        <f>T30</f>
        <v>5.8582999999999998</v>
      </c>
      <c r="R8" s="1242">
        <f>T42</f>
        <v>5.58</v>
      </c>
      <c r="S8" s="1242">
        <f>T54</f>
        <v>4.17</v>
      </c>
      <c r="T8" s="1242">
        <f>T66</f>
        <v>3.72</v>
      </c>
      <c r="U8" s="1242">
        <f>T78</f>
        <v>4.58</v>
      </c>
      <c r="V8" s="1242">
        <f>T90</f>
        <v>3.3</v>
      </c>
      <c r="W8" s="1242">
        <f>Y30</f>
        <v>3.02</v>
      </c>
      <c r="X8" s="1243">
        <f>Y42</f>
        <v>3.28</v>
      </c>
      <c r="Y8" s="1243">
        <f>Y54</f>
        <v>2.87</v>
      </c>
      <c r="Z8" s="1243">
        <f>Y66</f>
        <v>2.02</v>
      </c>
      <c r="AA8" s="1243">
        <f>Y78</f>
        <v>1.08</v>
      </c>
      <c r="AB8" s="1243">
        <f>Y90</f>
        <v>1.76</v>
      </c>
      <c r="AC8" s="34"/>
    </row>
    <row r="9" spans="1:29">
      <c r="A9" s="34"/>
      <c r="B9" s="34"/>
      <c r="C9" s="1359" t="s">
        <v>44</v>
      </c>
      <c r="D9" s="1372"/>
      <c r="E9" s="690">
        <f>J33</f>
        <v>6.6</v>
      </c>
      <c r="F9" s="816">
        <f>J45</f>
        <v>6.5148000000000001</v>
      </c>
      <c r="G9" s="816">
        <f>J57</f>
        <v>6.8486000000000002</v>
      </c>
      <c r="H9" s="816">
        <f>J69</f>
        <v>6.6319999999999997</v>
      </c>
      <c r="I9" s="816">
        <f>J81</f>
        <v>6.64</v>
      </c>
      <c r="J9" s="816">
        <f>O21</f>
        <v>5.2308000000000003</v>
      </c>
      <c r="K9" s="816">
        <f>O33</f>
        <v>6.2876000000000003</v>
      </c>
      <c r="L9" s="816">
        <f>O45</f>
        <v>5.7110000000000003</v>
      </c>
      <c r="M9" s="817">
        <f>O57</f>
        <v>5.8376000000000001</v>
      </c>
      <c r="N9" s="816">
        <f>O69</f>
        <v>6.7169999999999996</v>
      </c>
      <c r="O9" s="816">
        <f>O81</f>
        <v>6.4153000000000002</v>
      </c>
      <c r="P9" s="816">
        <f>T21</f>
        <v>5.97</v>
      </c>
      <c r="Q9" s="1244">
        <f>T33</f>
        <v>5.5140000000000002</v>
      </c>
      <c r="R9" s="1245">
        <f>T45</f>
        <v>5.04</v>
      </c>
      <c r="S9" s="1245">
        <f>T57</f>
        <v>3.4</v>
      </c>
      <c r="T9" s="1245">
        <f>T69</f>
        <v>3.83</v>
      </c>
      <c r="U9" s="1245">
        <f>T81</f>
        <v>4.42</v>
      </c>
      <c r="V9" s="1245">
        <f>Y21</f>
        <v>3.77</v>
      </c>
      <c r="W9" s="1245">
        <f>Y33</f>
        <v>2.5099999999999998</v>
      </c>
      <c r="X9" s="1246">
        <f>Y45</f>
        <v>2.77</v>
      </c>
      <c r="Y9" s="1244">
        <f>Y57</f>
        <v>2.9</v>
      </c>
      <c r="Z9" s="1244">
        <f>Y69</f>
        <v>1.63</v>
      </c>
      <c r="AA9" s="1246">
        <f>Y81</f>
        <v>0.9</v>
      </c>
      <c r="AB9" s="1246">
        <f>Y93</f>
        <v>1.76</v>
      </c>
      <c r="AC9" s="34"/>
    </row>
    <row r="10" spans="1:29">
      <c r="A10" s="34"/>
      <c r="B10" s="34"/>
      <c r="C10" s="613"/>
      <c r="D10" s="34"/>
      <c r="E10" s="690"/>
      <c r="F10" s="690"/>
      <c r="G10" s="690"/>
      <c r="H10" s="690"/>
      <c r="I10" s="690"/>
      <c r="J10" s="690"/>
      <c r="K10" s="690"/>
      <c r="L10" s="690"/>
      <c r="M10" s="835"/>
      <c r="N10" s="690"/>
      <c r="O10" s="690"/>
      <c r="P10" s="690"/>
      <c r="Q10" s="1288"/>
      <c r="R10" s="1448"/>
      <c r="S10" s="1448"/>
      <c r="T10" s="1448"/>
      <c r="U10" s="1448"/>
      <c r="V10" s="1448"/>
      <c r="W10" s="1448"/>
      <c r="X10" s="1449"/>
      <c r="Y10" s="1288"/>
      <c r="Z10" s="1288"/>
      <c r="AA10" s="1449"/>
      <c r="AB10" s="1449"/>
      <c r="AC10" s="34"/>
    </row>
    <row r="11" spans="1:29">
      <c r="A11" s="811" t="s">
        <v>449</v>
      </c>
      <c r="B11" s="802"/>
      <c r="C11" s="803"/>
      <c r="D11" s="734"/>
      <c r="E11" s="733"/>
      <c r="F11" s="34"/>
      <c r="G11" s="34"/>
      <c r="H11" s="34"/>
      <c r="I11" s="34"/>
      <c r="J11" s="34"/>
      <c r="K11" s="34"/>
      <c r="L11" s="34"/>
      <c r="M11" s="34"/>
      <c r="N11" s="34"/>
      <c r="O11" s="34"/>
      <c r="P11" s="34"/>
      <c r="Q11" s="613"/>
      <c r="R11" s="613"/>
      <c r="S11" s="613"/>
      <c r="T11" s="613"/>
      <c r="U11" s="613"/>
      <c r="V11" s="613"/>
      <c r="W11" s="613"/>
      <c r="X11" s="613"/>
      <c r="Y11" s="613"/>
      <c r="Z11" s="613"/>
      <c r="AA11" s="613"/>
      <c r="AB11" s="613"/>
      <c r="AC11" s="34"/>
    </row>
    <row r="12" spans="1:29" ht="15">
      <c r="A12" s="34"/>
      <c r="B12" s="34"/>
      <c r="C12" s="1250" t="s">
        <v>431</v>
      </c>
      <c r="D12" s="34"/>
      <c r="E12" s="1447">
        <v>1998</v>
      </c>
      <c r="F12" s="772"/>
      <c r="G12" s="772"/>
      <c r="H12" s="772"/>
      <c r="I12" s="772"/>
      <c r="J12" s="772"/>
      <c r="K12" s="772"/>
      <c r="L12" s="772"/>
      <c r="M12" s="772"/>
      <c r="N12" s="772"/>
      <c r="O12" s="772"/>
      <c r="P12" s="772"/>
      <c r="Q12" s="772"/>
      <c r="R12" s="772"/>
      <c r="S12" s="772"/>
      <c r="T12" s="772"/>
      <c r="U12" s="772"/>
      <c r="V12" s="772"/>
      <c r="W12" s="772"/>
      <c r="X12" s="772"/>
      <c r="Y12" s="772"/>
      <c r="Z12" s="714"/>
      <c r="AA12" s="714"/>
      <c r="AB12" s="613"/>
      <c r="AC12" s="34"/>
    </row>
    <row r="13" spans="1:29">
      <c r="A13" s="34"/>
      <c r="B13" s="34"/>
      <c r="C13" s="819" t="s">
        <v>446</v>
      </c>
      <c r="D13" s="1233"/>
      <c r="E13" s="690">
        <f>I39</f>
        <v>5.27</v>
      </c>
      <c r="F13" s="818">
        <f>I51</f>
        <v>6.9881000000000002</v>
      </c>
      <c r="G13" s="818">
        <f>I63</f>
        <v>6.1753</v>
      </c>
      <c r="H13" s="818">
        <f>I75</f>
        <v>6.1874000000000002</v>
      </c>
      <c r="I13" s="818">
        <f>I87</f>
        <v>5.9269999999999996</v>
      </c>
      <c r="J13" s="818">
        <f>N27</f>
        <v>5.9295</v>
      </c>
      <c r="K13" s="818">
        <f>N39</f>
        <v>5.9779</v>
      </c>
      <c r="L13" s="818">
        <f>N51</f>
        <v>5.9459999999999997</v>
      </c>
      <c r="M13" s="818">
        <f>N63</f>
        <v>6.2157999999999998</v>
      </c>
      <c r="N13" s="818">
        <f>N75</f>
        <v>7.1634000000000002</v>
      </c>
      <c r="O13" s="818">
        <f>N87</f>
        <v>4.5792999999999999</v>
      </c>
      <c r="P13" s="818">
        <f>S27</f>
        <v>5.4139999999999997</v>
      </c>
      <c r="Q13" s="1247">
        <f>S39</f>
        <v>4.79</v>
      </c>
      <c r="R13" s="1247">
        <f>S51</f>
        <v>3.39</v>
      </c>
      <c r="S13" s="1247">
        <f>S63</f>
        <v>2.91</v>
      </c>
      <c r="T13" s="1247">
        <f>S75</f>
        <v>4.2699999999999996</v>
      </c>
      <c r="U13" s="1247">
        <f>S87</f>
        <v>3.67</v>
      </c>
      <c r="V13" s="1247">
        <f>X27</f>
        <v>2.96</v>
      </c>
      <c r="W13" s="1247">
        <f>X39</f>
        <v>2.62</v>
      </c>
      <c r="X13" s="1248">
        <f>X51</f>
        <v>2.33</v>
      </c>
      <c r="Y13" s="1248">
        <f>X63</f>
        <v>1.92</v>
      </c>
      <c r="Z13" s="1249">
        <f>X75</f>
        <v>1.27</v>
      </c>
      <c r="AA13" s="1249">
        <f>X87</f>
        <v>0.34</v>
      </c>
      <c r="AB13" s="1237">
        <f>AC39</f>
        <v>2.21</v>
      </c>
      <c r="AC13" s="34"/>
    </row>
    <row r="14" spans="1:29">
      <c r="A14" s="34"/>
      <c r="B14" s="34"/>
      <c r="C14" s="820" t="s">
        <v>447</v>
      </c>
      <c r="D14" s="1230"/>
      <c r="E14" s="690">
        <f>I28</f>
        <v>7.05</v>
      </c>
      <c r="F14" s="813">
        <f>I40</f>
        <v>5.41</v>
      </c>
      <c r="G14" s="813">
        <f>I52</f>
        <v>7.2836999999999996</v>
      </c>
      <c r="H14" s="813">
        <f>I64</f>
        <v>5.9856999999999996</v>
      </c>
      <c r="I14" s="813">
        <f>I76</f>
        <v>6.2466999999999997</v>
      </c>
      <c r="J14" s="813">
        <f>I88</f>
        <v>5.7971000000000004</v>
      </c>
      <c r="K14" s="813">
        <f>N28</f>
        <v>5.7888000000000002</v>
      </c>
      <c r="L14" s="813">
        <f>N40</f>
        <v>6.0381999999999998</v>
      </c>
      <c r="M14" s="813">
        <f>N52</f>
        <v>5.7714999999999996</v>
      </c>
      <c r="N14" s="813">
        <f>N64</f>
        <v>6.3018999999999998</v>
      </c>
      <c r="O14" s="813">
        <f>N76</f>
        <v>7.0061999999999998</v>
      </c>
      <c r="P14" s="813">
        <f>N88</f>
        <v>4.0258000000000003</v>
      </c>
      <c r="Q14" s="1238">
        <f>S28</f>
        <v>5.3446999999999996</v>
      </c>
      <c r="R14" s="1239">
        <f>S40</f>
        <v>4.6100000000000003</v>
      </c>
      <c r="S14" s="1239">
        <f>S52</f>
        <v>3.36</v>
      </c>
      <c r="T14" s="1239">
        <f>S64</f>
        <v>2.9</v>
      </c>
      <c r="U14" s="1239">
        <f>S76</f>
        <v>4.16</v>
      </c>
      <c r="V14" s="1239">
        <f>S88</f>
        <v>3.39</v>
      </c>
      <c r="W14" s="1239">
        <f>X28</f>
        <v>2.76</v>
      </c>
      <c r="X14" s="1239">
        <f>X40</f>
        <v>2.61</v>
      </c>
      <c r="Y14" s="1240">
        <f>X52</f>
        <v>2.42</v>
      </c>
      <c r="Z14" s="1240">
        <f>X64</f>
        <v>1.8</v>
      </c>
      <c r="AA14" s="1240">
        <f>X76</f>
        <v>1.21</v>
      </c>
      <c r="AB14" s="1240">
        <f>X88</f>
        <v>0.39</v>
      </c>
      <c r="AC14" s="34"/>
    </row>
    <row r="15" spans="1:29">
      <c r="A15" s="34"/>
      <c r="B15" s="34"/>
      <c r="C15" s="821" t="s">
        <v>448</v>
      </c>
      <c r="D15" s="1231"/>
      <c r="E15" s="690">
        <f>I30</f>
        <v>7.34</v>
      </c>
      <c r="F15" s="814">
        <f>I42</f>
        <v>5.5526</v>
      </c>
      <c r="G15" s="814">
        <f>I54</f>
        <v>7.0365000000000002</v>
      </c>
      <c r="H15" s="814">
        <f>I66</f>
        <v>5.7408999999999999</v>
      </c>
      <c r="I15" s="814">
        <f>I78</f>
        <v>6.6704999999999997</v>
      </c>
      <c r="J15" s="814">
        <f>I90</f>
        <v>5.4692999999999996</v>
      </c>
      <c r="K15" s="814">
        <f>N30</f>
        <v>5.5937000000000001</v>
      </c>
      <c r="L15" s="814">
        <f>N42</f>
        <v>6.2901999999999996</v>
      </c>
      <c r="M15" s="814">
        <f>N54</f>
        <v>5.8034999999999997</v>
      </c>
      <c r="N15" s="814">
        <f>N66</f>
        <v>6.5045000000000002</v>
      </c>
      <c r="O15" s="814">
        <f>N78</f>
        <v>6.6783999999999999</v>
      </c>
      <c r="P15" s="814">
        <f>N90</f>
        <v>4.0202</v>
      </c>
      <c r="Q15" s="1241">
        <f>S30</f>
        <v>5.0888999999999998</v>
      </c>
      <c r="R15" s="1242">
        <f>S42</f>
        <v>4.32</v>
      </c>
      <c r="S15" s="1242">
        <f>S54</f>
        <v>3.71</v>
      </c>
      <c r="T15" s="1242">
        <f>S66</f>
        <v>3.05</v>
      </c>
      <c r="U15" s="1242">
        <f>S78</f>
        <v>4.1100000000000003</v>
      </c>
      <c r="V15" s="1242">
        <f>S90</f>
        <v>3.21</v>
      </c>
      <c r="W15" s="1242">
        <f>X30</f>
        <v>2.41</v>
      </c>
      <c r="X15" s="1243">
        <f>X42</f>
        <v>2.56</v>
      </c>
      <c r="Y15" s="1243">
        <f>X54</f>
        <v>2.37</v>
      </c>
      <c r="Z15" s="1243">
        <f>X66</f>
        <v>1.59</v>
      </c>
      <c r="AA15" s="1243">
        <f>X78</f>
        <v>0.77</v>
      </c>
      <c r="AB15" s="1243">
        <f>X90</f>
        <v>1.03</v>
      </c>
      <c r="AC15" s="34"/>
    </row>
    <row r="16" spans="1:29">
      <c r="A16" s="34"/>
      <c r="B16" s="34"/>
      <c r="C16" s="716" t="s">
        <v>44</v>
      </c>
      <c r="D16" s="1232"/>
      <c r="E16" s="690">
        <f>I33</f>
        <v>6.94</v>
      </c>
      <c r="F16" s="816">
        <f>I45</f>
        <v>6.1467000000000001</v>
      </c>
      <c r="G16" s="816">
        <f>I57</f>
        <v>6.9405000000000001</v>
      </c>
      <c r="H16" s="816">
        <f>I69</f>
        <v>6.4480000000000004</v>
      </c>
      <c r="I16" s="816">
        <f>I81</f>
        <v>6.48</v>
      </c>
      <c r="J16" s="816">
        <f>N21</f>
        <v>4.8419999999999996</v>
      </c>
      <c r="K16" s="816">
        <f>N33</f>
        <v>6.1601999999999997</v>
      </c>
      <c r="L16" s="816">
        <f>N45</f>
        <v>5.8380999999999998</v>
      </c>
      <c r="M16" s="817">
        <f>N57</f>
        <v>5.9686000000000003</v>
      </c>
      <c r="N16" s="816">
        <f>N69</f>
        <v>7.1342999999999996</v>
      </c>
      <c r="O16" s="816">
        <f>N81</f>
        <v>6.4459999999999997</v>
      </c>
      <c r="P16" s="816">
        <f>S21</f>
        <v>4.7961999999999998</v>
      </c>
      <c r="Q16" s="1244">
        <f>S33</f>
        <v>4.8479000000000001</v>
      </c>
      <c r="R16" s="1245">
        <f>S45</f>
        <v>3.99</v>
      </c>
      <c r="S16" s="1245">
        <f>S57</f>
        <v>2.83</v>
      </c>
      <c r="T16" s="1245">
        <f>S69</f>
        <v>3.16</v>
      </c>
      <c r="U16" s="1245">
        <f>S81</f>
        <v>4.08</v>
      </c>
      <c r="V16" s="1245">
        <f>X21</f>
        <v>3.19</v>
      </c>
      <c r="W16" s="1245">
        <f>X33</f>
        <v>2.12</v>
      </c>
      <c r="X16" s="1246">
        <f>X45</f>
        <v>2.46</v>
      </c>
      <c r="Y16" s="1246">
        <f>X57</f>
        <v>2.2799999999999998</v>
      </c>
      <c r="Z16" s="1246">
        <f>X69</f>
        <v>1.3</v>
      </c>
      <c r="AA16" s="1246">
        <f>X81</f>
        <v>0.43</v>
      </c>
      <c r="AB16" s="1246">
        <f>X93</f>
        <v>1.03</v>
      </c>
      <c r="AC16" s="34"/>
    </row>
    <row r="17" spans="1:31">
      <c r="A17" s="34"/>
      <c r="B17" s="34"/>
      <c r="C17" s="613"/>
      <c r="D17" s="34"/>
      <c r="E17" s="690"/>
      <c r="F17" s="690"/>
      <c r="G17" s="690"/>
      <c r="H17" s="690"/>
      <c r="I17" s="690"/>
      <c r="J17" s="690"/>
      <c r="K17" s="690"/>
      <c r="L17" s="690"/>
      <c r="M17" s="835"/>
      <c r="N17" s="690"/>
      <c r="O17" s="690"/>
      <c r="P17" s="690"/>
      <c r="Q17" s="1288"/>
      <c r="R17" s="1448"/>
      <c r="S17" s="1448"/>
      <c r="T17" s="1448"/>
      <c r="U17" s="1448"/>
      <c r="V17" s="1448"/>
      <c r="W17" s="1448"/>
      <c r="X17" s="1449"/>
      <c r="Y17" s="1449"/>
      <c r="Z17" s="1449"/>
      <c r="AA17" s="1449"/>
      <c r="AB17" s="1449"/>
      <c r="AC17" s="34"/>
    </row>
    <row r="18" spans="1:31">
      <c r="A18" s="34"/>
      <c r="B18" s="34"/>
      <c r="C18" s="613"/>
      <c r="D18" s="34"/>
      <c r="E18" s="690"/>
      <c r="F18" s="690"/>
      <c r="G18" s="690"/>
      <c r="H18" s="690"/>
      <c r="I18" s="690"/>
      <c r="J18" s="690"/>
      <c r="K18" s="690"/>
      <c r="L18" s="690"/>
      <c r="M18" s="835"/>
      <c r="N18" s="690"/>
      <c r="O18" s="690"/>
      <c r="P18" s="690"/>
      <c r="Q18" s="690"/>
      <c r="R18" s="1450"/>
      <c r="S18" s="1450"/>
      <c r="T18" s="1450"/>
      <c r="U18" s="1450"/>
      <c r="V18" s="1450"/>
      <c r="W18" s="1450"/>
      <c r="X18" s="941"/>
      <c r="Y18" s="941"/>
      <c r="Z18" s="941"/>
      <c r="AA18" s="941"/>
      <c r="AB18" s="941"/>
      <c r="AC18" s="34"/>
    </row>
    <row r="19" spans="1:31">
      <c r="A19" s="801" t="s">
        <v>450</v>
      </c>
      <c r="B19" s="802"/>
      <c r="C19" s="803"/>
      <c r="D19" s="734"/>
      <c r="E19" s="733"/>
      <c r="F19" s="43"/>
      <c r="G19" s="43"/>
      <c r="H19" s="43"/>
      <c r="I19" s="43"/>
      <c r="J19" s="43"/>
      <c r="K19" s="43"/>
      <c r="L19" s="43"/>
      <c r="M19" s="43"/>
      <c r="N19" s="43"/>
      <c r="O19" s="43"/>
      <c r="P19" s="43"/>
      <c r="Q19" s="43"/>
      <c r="R19" s="43"/>
      <c r="S19" s="43"/>
      <c r="T19" s="43"/>
      <c r="U19" s="43"/>
      <c r="V19" s="43"/>
      <c r="W19" s="43"/>
      <c r="X19" s="43"/>
      <c r="Y19" s="43"/>
      <c r="Z19" s="43"/>
      <c r="AA19" s="43"/>
      <c r="AB19" s="34"/>
      <c r="AC19" s="34"/>
    </row>
    <row r="20" spans="1:31" ht="13.5">
      <c r="A20" s="609"/>
      <c r="B20" s="609" t="s">
        <v>451</v>
      </c>
      <c r="C20" s="186"/>
      <c r="D20" s="34"/>
      <c r="E20" s="34"/>
      <c r="F20" s="34"/>
      <c r="G20" s="34"/>
      <c r="H20" s="822" t="s">
        <v>452</v>
      </c>
      <c r="I20" s="721">
        <v>5</v>
      </c>
      <c r="J20" s="721">
        <v>10</v>
      </c>
      <c r="K20" s="823" t="s">
        <v>453</v>
      </c>
      <c r="L20" s="34"/>
      <c r="M20" s="721" t="s">
        <v>452</v>
      </c>
      <c r="N20" s="721">
        <v>5</v>
      </c>
      <c r="O20" s="721">
        <v>10</v>
      </c>
      <c r="P20" s="823" t="s">
        <v>453</v>
      </c>
      <c r="Q20" s="34"/>
      <c r="R20" s="721" t="s">
        <v>452</v>
      </c>
      <c r="S20" s="721">
        <v>5</v>
      </c>
      <c r="T20" s="721">
        <v>10</v>
      </c>
      <c r="U20" s="823" t="s">
        <v>453</v>
      </c>
      <c r="V20" s="34"/>
      <c r="W20" s="721" t="s">
        <v>452</v>
      </c>
      <c r="X20" s="721">
        <v>5</v>
      </c>
      <c r="Y20" s="721">
        <v>10</v>
      </c>
      <c r="Z20" s="823" t="s">
        <v>453</v>
      </c>
      <c r="AA20" s="34"/>
      <c r="AB20" s="721" t="s">
        <v>452</v>
      </c>
      <c r="AC20" s="721">
        <v>5</v>
      </c>
      <c r="AD20" s="721">
        <v>10</v>
      </c>
      <c r="AE20" s="823" t="s">
        <v>453</v>
      </c>
    </row>
    <row r="21" spans="1:31">
      <c r="A21" s="824"/>
      <c r="B21" s="824"/>
      <c r="C21" s="34"/>
      <c r="D21" s="34"/>
      <c r="E21" s="34"/>
      <c r="F21" s="34"/>
      <c r="G21" s="34"/>
      <c r="H21" s="825">
        <v>35611</v>
      </c>
      <c r="I21" s="826">
        <v>6.99</v>
      </c>
      <c r="J21" s="827">
        <v>7.13</v>
      </c>
      <c r="K21" s="828">
        <f t="shared" ref="K21:K84" si="2">J21-I21</f>
        <v>0.13999999999999968</v>
      </c>
      <c r="L21" s="34"/>
      <c r="M21" s="825">
        <v>37802</v>
      </c>
      <c r="N21" s="826">
        <v>4.8419999999999996</v>
      </c>
      <c r="O21" s="829">
        <v>5.2308000000000003</v>
      </c>
      <c r="P21" s="828">
        <f t="shared" ref="P21:P84" si="3">O21-N21</f>
        <v>0.3888000000000007</v>
      </c>
      <c r="Q21" s="34"/>
      <c r="R21" s="825">
        <v>39994</v>
      </c>
      <c r="S21" s="800">
        <v>4.7961999999999998</v>
      </c>
      <c r="T21" s="830">
        <v>5.97</v>
      </c>
      <c r="U21" s="831">
        <f t="shared" ref="U21:U84" si="4">T21-S21</f>
        <v>1.1738</v>
      </c>
      <c r="V21" s="34"/>
      <c r="W21" s="825">
        <v>42185</v>
      </c>
      <c r="X21" s="832">
        <v>3.19</v>
      </c>
      <c r="Y21" s="827">
        <v>3.77</v>
      </c>
      <c r="Z21" s="826">
        <f t="shared" ref="Z21:Z84" si="5">Y21-X21</f>
        <v>0.58000000000000007</v>
      </c>
      <c r="AA21" s="34"/>
      <c r="AB21" s="841">
        <v>44012</v>
      </c>
      <c r="AC21" s="855">
        <v>0.43</v>
      </c>
      <c r="AD21" s="1051">
        <v>0.9</v>
      </c>
      <c r="AE21" s="690">
        <f t="shared" ref="AE21:AE45" si="6">AD21-AC21</f>
        <v>0.47000000000000003</v>
      </c>
    </row>
    <row r="22" spans="1:31">
      <c r="A22" s="714"/>
      <c r="B22" s="714"/>
      <c r="C22" s="34"/>
      <c r="D22" s="34"/>
      <c r="E22" s="34"/>
      <c r="F22" s="34"/>
      <c r="G22" s="34"/>
      <c r="H22" s="833">
        <v>35642</v>
      </c>
      <c r="I22" s="826">
        <v>6.81</v>
      </c>
      <c r="J22" s="826">
        <v>6.81</v>
      </c>
      <c r="K22" s="828">
        <f t="shared" si="2"/>
        <v>0</v>
      </c>
      <c r="L22" s="34"/>
      <c r="M22" s="833">
        <v>37833</v>
      </c>
      <c r="N22" s="826">
        <v>5.0827999999999998</v>
      </c>
      <c r="O22" s="826">
        <v>5.5427999999999997</v>
      </c>
      <c r="P22" s="828">
        <f t="shared" si="3"/>
        <v>0.45999999999999996</v>
      </c>
      <c r="Q22" s="34"/>
      <c r="R22" s="825">
        <v>40025</v>
      </c>
      <c r="S22" s="826">
        <v>4.7153999999999998</v>
      </c>
      <c r="T22" s="826">
        <v>5.7497999999999996</v>
      </c>
      <c r="U22" s="828">
        <f t="shared" si="4"/>
        <v>1.0343999999999998</v>
      </c>
      <c r="V22" s="34"/>
      <c r="W22" s="834">
        <v>42216</v>
      </c>
      <c r="X22" s="835">
        <v>2.86</v>
      </c>
      <c r="Y22" s="835">
        <v>3.47</v>
      </c>
      <c r="Z22" s="690">
        <f t="shared" si="5"/>
        <v>0.61000000000000032</v>
      </c>
      <c r="AA22" s="34"/>
      <c r="AB22" s="849">
        <v>44043</v>
      </c>
      <c r="AC22" s="846">
        <v>0.42</v>
      </c>
      <c r="AD22" s="846">
        <v>0.91</v>
      </c>
      <c r="AE22" s="690">
        <f t="shared" si="6"/>
        <v>0.49000000000000005</v>
      </c>
    </row>
    <row r="23" spans="1:31">
      <c r="A23" s="34"/>
      <c r="B23" s="34"/>
      <c r="C23" s="34"/>
      <c r="D23" s="34"/>
      <c r="E23" s="34"/>
      <c r="F23" s="34"/>
      <c r="G23" s="34"/>
      <c r="H23" s="833">
        <v>35673</v>
      </c>
      <c r="I23" s="826">
        <v>7.16</v>
      </c>
      <c r="J23" s="826">
        <v>7.05</v>
      </c>
      <c r="K23" s="828">
        <f t="shared" si="2"/>
        <v>-0.11000000000000032</v>
      </c>
      <c r="L23" s="34"/>
      <c r="M23" s="833">
        <v>37864</v>
      </c>
      <c r="N23" s="826">
        <v>5.4413999999999998</v>
      </c>
      <c r="O23" s="826">
        <v>5.9139999999999997</v>
      </c>
      <c r="P23" s="828">
        <f t="shared" si="3"/>
        <v>0.47259999999999991</v>
      </c>
      <c r="Q23" s="34"/>
      <c r="R23" s="825">
        <v>40056</v>
      </c>
      <c r="S23" s="826">
        <v>4.9057000000000004</v>
      </c>
      <c r="T23" s="826">
        <v>5.8155000000000001</v>
      </c>
      <c r="U23" s="828">
        <f t="shared" si="4"/>
        <v>0.90979999999999972</v>
      </c>
      <c r="V23" s="34"/>
      <c r="W23" s="834">
        <v>42217</v>
      </c>
      <c r="X23" s="835">
        <v>2.69</v>
      </c>
      <c r="Y23" s="835">
        <v>3.29</v>
      </c>
      <c r="Z23" s="690">
        <f t="shared" si="5"/>
        <v>0.60000000000000009</v>
      </c>
      <c r="AA23" s="34"/>
      <c r="AB23" s="849">
        <v>44074</v>
      </c>
      <c r="AC23" s="846">
        <v>0.25</v>
      </c>
      <c r="AD23" s="846">
        <v>0.68</v>
      </c>
      <c r="AE23" s="690">
        <f t="shared" si="6"/>
        <v>0.43000000000000005</v>
      </c>
    </row>
    <row r="24" spans="1:31">
      <c r="A24" s="34"/>
      <c r="B24" s="34"/>
      <c r="C24" s="34"/>
      <c r="D24" s="34"/>
      <c r="E24" s="34"/>
      <c r="F24" s="34"/>
      <c r="G24" s="34"/>
      <c r="H24" s="833">
        <v>35703</v>
      </c>
      <c r="I24" s="826">
        <v>6.93</v>
      </c>
      <c r="J24" s="826">
        <v>6.88</v>
      </c>
      <c r="K24" s="828">
        <f t="shared" si="2"/>
        <v>-4.9999999999999822E-2</v>
      </c>
      <c r="L24" s="34"/>
      <c r="M24" s="833">
        <v>37894</v>
      </c>
      <c r="N24" s="826">
        <v>5.5458999999999996</v>
      </c>
      <c r="O24" s="826">
        <v>5.9545000000000003</v>
      </c>
      <c r="P24" s="828">
        <f t="shared" si="3"/>
        <v>0.40860000000000074</v>
      </c>
      <c r="Q24" s="34"/>
      <c r="R24" s="825">
        <v>40086</v>
      </c>
      <c r="S24" s="826">
        <v>4.8426999999999998</v>
      </c>
      <c r="T24" s="826">
        <v>5.6292999999999997</v>
      </c>
      <c r="U24" s="828">
        <f t="shared" si="4"/>
        <v>0.78659999999999997</v>
      </c>
      <c r="V24" s="34"/>
      <c r="W24" s="834">
        <v>42277</v>
      </c>
      <c r="X24" s="835">
        <v>2.69</v>
      </c>
      <c r="Y24" s="835">
        <v>3.29</v>
      </c>
      <c r="Z24" s="690">
        <f t="shared" si="5"/>
        <v>0.60000000000000009</v>
      </c>
      <c r="AA24" s="34"/>
      <c r="AB24" s="849">
        <v>44104</v>
      </c>
      <c r="AC24" s="846">
        <v>0.02</v>
      </c>
      <c r="AD24" s="846">
        <v>0.56000000000000005</v>
      </c>
      <c r="AE24" s="690">
        <f t="shared" si="6"/>
        <v>0.54</v>
      </c>
    </row>
    <row r="25" spans="1:31">
      <c r="A25" s="34"/>
      <c r="B25" s="34"/>
      <c r="C25" s="34"/>
      <c r="D25" s="34"/>
      <c r="E25" s="34"/>
      <c r="F25" s="34"/>
      <c r="G25" s="34"/>
      <c r="H25" s="833">
        <v>35734</v>
      </c>
      <c r="I25" s="826">
        <v>6.73</v>
      </c>
      <c r="J25" s="826">
        <v>6.64</v>
      </c>
      <c r="K25" s="828">
        <f t="shared" si="2"/>
        <v>-9.0000000000000746E-2</v>
      </c>
      <c r="L25" s="34"/>
      <c r="M25" s="833">
        <v>37925</v>
      </c>
      <c r="N25" s="826">
        <v>5.7858999999999998</v>
      </c>
      <c r="O25" s="826">
        <v>6.0176999999999996</v>
      </c>
      <c r="P25" s="828">
        <f t="shared" si="3"/>
        <v>0.23179999999999978</v>
      </c>
      <c r="Q25" s="34"/>
      <c r="R25" s="825">
        <v>40117</v>
      </c>
      <c r="S25" s="826">
        <v>5.0587999999999997</v>
      </c>
      <c r="T25" s="826">
        <v>5.6620999999999997</v>
      </c>
      <c r="U25" s="828">
        <f t="shared" si="4"/>
        <v>0.60329999999999995</v>
      </c>
      <c r="V25" s="34"/>
      <c r="W25" s="834">
        <v>42280</v>
      </c>
      <c r="X25" s="835">
        <v>2.73</v>
      </c>
      <c r="Y25" s="835">
        <v>3.34</v>
      </c>
      <c r="Z25" s="690">
        <f t="shared" si="5"/>
        <v>0.60999999999999988</v>
      </c>
      <c r="AA25" s="34"/>
      <c r="AB25" s="849">
        <v>44135</v>
      </c>
      <c r="AC25" s="846">
        <v>0.03</v>
      </c>
      <c r="AD25" s="846">
        <v>0.54</v>
      </c>
      <c r="AE25" s="690">
        <f t="shared" si="6"/>
        <v>0.51</v>
      </c>
    </row>
    <row r="26" spans="1:31">
      <c r="A26" s="34"/>
      <c r="B26" s="34"/>
      <c r="C26" s="34"/>
      <c r="D26" s="34"/>
      <c r="E26" s="34"/>
      <c r="F26" s="34"/>
      <c r="G26" s="34"/>
      <c r="H26" s="833">
        <v>35764</v>
      </c>
      <c r="I26" s="826">
        <v>6.82</v>
      </c>
      <c r="J26" s="826">
        <v>6.65</v>
      </c>
      <c r="K26" s="828">
        <f t="shared" si="2"/>
        <v>-0.16999999999999993</v>
      </c>
      <c r="L26" s="34"/>
      <c r="M26" s="833">
        <v>37955</v>
      </c>
      <c r="N26" s="826">
        <v>6.1074999999999999</v>
      </c>
      <c r="O26" s="826">
        <v>6.2054999999999998</v>
      </c>
      <c r="P26" s="828">
        <f t="shared" si="3"/>
        <v>9.7999999999999865E-2</v>
      </c>
      <c r="Q26" s="34"/>
      <c r="R26" s="825">
        <v>40147</v>
      </c>
      <c r="S26" s="826">
        <v>5.4276</v>
      </c>
      <c r="T26" s="826">
        <v>6.0118999999999998</v>
      </c>
      <c r="U26" s="828">
        <f t="shared" si="4"/>
        <v>0.58429999999999982</v>
      </c>
      <c r="V26" s="34"/>
      <c r="W26" s="834">
        <v>42312</v>
      </c>
      <c r="X26" s="835">
        <v>2.93</v>
      </c>
      <c r="Y26" s="835">
        <v>3.49</v>
      </c>
      <c r="Z26" s="690">
        <f t="shared" si="5"/>
        <v>0.56000000000000005</v>
      </c>
      <c r="AA26" s="34"/>
      <c r="AB26" s="849">
        <v>44165</v>
      </c>
      <c r="AC26" s="846">
        <v>0.21</v>
      </c>
      <c r="AD26" s="846">
        <v>0.75</v>
      </c>
      <c r="AE26" s="690">
        <f t="shared" si="6"/>
        <v>0.54</v>
      </c>
    </row>
    <row r="27" spans="1:31">
      <c r="A27" s="34"/>
      <c r="B27" s="34"/>
      <c r="C27" s="34"/>
      <c r="D27" s="34"/>
      <c r="E27" s="34"/>
      <c r="F27" s="34"/>
      <c r="G27" s="34"/>
      <c r="H27" s="833">
        <v>35795</v>
      </c>
      <c r="I27" s="826">
        <v>7.19</v>
      </c>
      <c r="J27" s="836">
        <v>6.96</v>
      </c>
      <c r="K27" s="828">
        <f t="shared" si="2"/>
        <v>-0.23000000000000043</v>
      </c>
      <c r="L27" s="34"/>
      <c r="M27" s="833">
        <v>37986</v>
      </c>
      <c r="N27" s="826">
        <v>5.9295</v>
      </c>
      <c r="O27" s="836">
        <v>6.0488</v>
      </c>
      <c r="P27" s="828">
        <f t="shared" si="3"/>
        <v>0.11929999999999996</v>
      </c>
      <c r="Q27" s="34"/>
      <c r="R27" s="825">
        <v>40178</v>
      </c>
      <c r="S27" s="826">
        <v>5.4139999999999997</v>
      </c>
      <c r="T27" s="836">
        <v>6.0174000000000003</v>
      </c>
      <c r="U27" s="828">
        <f t="shared" si="4"/>
        <v>0.6034000000000006</v>
      </c>
      <c r="V27" s="34"/>
      <c r="W27" s="834">
        <v>42343</v>
      </c>
      <c r="X27" s="835">
        <v>2.96</v>
      </c>
      <c r="Y27" s="837">
        <v>3.55</v>
      </c>
      <c r="Z27" s="690">
        <f t="shared" si="5"/>
        <v>0.58999999999999986</v>
      </c>
      <c r="AA27" s="34"/>
      <c r="AB27" s="849">
        <v>44196</v>
      </c>
      <c r="AC27" s="846">
        <v>0.34</v>
      </c>
      <c r="AD27" s="846">
        <v>0.92</v>
      </c>
      <c r="AE27" s="690">
        <f t="shared" si="6"/>
        <v>0.58000000000000007</v>
      </c>
    </row>
    <row r="28" spans="1:31">
      <c r="A28" s="714"/>
      <c r="B28" s="714"/>
      <c r="C28" s="34"/>
      <c r="D28" s="34"/>
      <c r="E28" s="34"/>
      <c r="F28" s="34"/>
      <c r="G28" s="34"/>
      <c r="H28" s="833">
        <v>35826</v>
      </c>
      <c r="I28" s="826">
        <v>7.05</v>
      </c>
      <c r="J28" s="838">
        <v>6.74</v>
      </c>
      <c r="K28" s="828">
        <f t="shared" si="2"/>
        <v>-0.30999999999999961</v>
      </c>
      <c r="L28" s="34"/>
      <c r="M28" s="833">
        <v>38017</v>
      </c>
      <c r="N28" s="826">
        <v>5.7888000000000002</v>
      </c>
      <c r="O28" s="838">
        <v>5.9335000000000004</v>
      </c>
      <c r="P28" s="828">
        <f t="shared" si="3"/>
        <v>0.14470000000000027</v>
      </c>
      <c r="Q28" s="34"/>
      <c r="R28" s="825">
        <v>40209</v>
      </c>
      <c r="S28" s="826">
        <v>5.3446999999999996</v>
      </c>
      <c r="T28" s="838">
        <v>5.9954999999999998</v>
      </c>
      <c r="U28" s="828">
        <f t="shared" si="4"/>
        <v>0.65080000000000027</v>
      </c>
      <c r="V28" s="34"/>
      <c r="W28" s="834">
        <v>42375</v>
      </c>
      <c r="X28" s="835">
        <v>2.76</v>
      </c>
      <c r="Y28" s="839">
        <v>3.31</v>
      </c>
      <c r="Z28" s="690">
        <f t="shared" si="5"/>
        <v>0.55000000000000027</v>
      </c>
      <c r="AA28" s="34"/>
      <c r="AB28" s="849">
        <v>44227</v>
      </c>
      <c r="AC28" s="846">
        <v>0.39</v>
      </c>
      <c r="AD28" s="1050">
        <v>1.04</v>
      </c>
      <c r="AE28" s="690">
        <f t="shared" si="6"/>
        <v>0.65</v>
      </c>
    </row>
    <row r="29" spans="1:31">
      <c r="A29" s="34"/>
      <c r="B29" s="34"/>
      <c r="C29" s="34"/>
      <c r="D29" s="34"/>
      <c r="E29" s="34"/>
      <c r="F29" s="34"/>
      <c r="G29" s="34"/>
      <c r="H29" s="833">
        <v>35854</v>
      </c>
      <c r="I29" s="826">
        <v>7.16</v>
      </c>
      <c r="J29" s="826">
        <v>6.83</v>
      </c>
      <c r="K29" s="828">
        <f t="shared" si="2"/>
        <v>-0.33000000000000007</v>
      </c>
      <c r="L29" s="34"/>
      <c r="M29" s="833">
        <v>38046</v>
      </c>
      <c r="N29" s="826">
        <v>5.7607999999999997</v>
      </c>
      <c r="O29" s="826">
        <v>5.9070999999999998</v>
      </c>
      <c r="P29" s="828">
        <f t="shared" si="3"/>
        <v>0.1463000000000001</v>
      </c>
      <c r="Q29" s="34"/>
      <c r="R29" s="825">
        <v>40237</v>
      </c>
      <c r="S29" s="826">
        <v>5.0942999999999996</v>
      </c>
      <c r="T29" s="826">
        <v>5.8564999999999996</v>
      </c>
      <c r="U29" s="828">
        <f t="shared" si="4"/>
        <v>0.76219999999999999</v>
      </c>
      <c r="V29" s="34"/>
      <c r="W29" s="834">
        <v>42428</v>
      </c>
      <c r="X29" s="835">
        <v>2.61</v>
      </c>
      <c r="Y29" s="835">
        <v>3.06</v>
      </c>
      <c r="Z29" s="690">
        <f t="shared" si="5"/>
        <v>0.45000000000000018</v>
      </c>
      <c r="AA29" s="34"/>
      <c r="AB29" s="834">
        <v>44255</v>
      </c>
      <c r="AC29" s="846">
        <v>0.75</v>
      </c>
      <c r="AD29" s="846">
        <v>1.47</v>
      </c>
      <c r="AE29" s="690">
        <f t="shared" si="6"/>
        <v>0.72</v>
      </c>
    </row>
    <row r="30" spans="1:31">
      <c r="A30" s="34"/>
      <c r="B30" s="34"/>
      <c r="C30" s="34"/>
      <c r="D30" s="34"/>
      <c r="E30" s="34"/>
      <c r="F30" s="34"/>
      <c r="G30" s="34"/>
      <c r="H30" s="833">
        <v>35885</v>
      </c>
      <c r="I30" s="826">
        <v>7.34</v>
      </c>
      <c r="J30" s="840">
        <v>6.93</v>
      </c>
      <c r="K30" s="828">
        <f t="shared" si="2"/>
        <v>-0.41000000000000014</v>
      </c>
      <c r="L30" s="34"/>
      <c r="M30" s="833">
        <v>38077</v>
      </c>
      <c r="N30" s="826">
        <v>5.5937000000000001</v>
      </c>
      <c r="O30" s="840">
        <v>5.7411000000000003</v>
      </c>
      <c r="P30" s="828">
        <f t="shared" si="3"/>
        <v>0.1474000000000002</v>
      </c>
      <c r="Q30" s="34"/>
      <c r="R30" s="825">
        <v>40268</v>
      </c>
      <c r="S30" s="826">
        <v>5.0888999999999998</v>
      </c>
      <c r="T30" s="840">
        <v>5.8582999999999998</v>
      </c>
      <c r="U30" s="828">
        <f t="shared" si="4"/>
        <v>0.76940000000000008</v>
      </c>
      <c r="V30" s="34"/>
      <c r="W30" s="834">
        <v>42460</v>
      </c>
      <c r="X30" s="835">
        <v>2.41</v>
      </c>
      <c r="Y30" s="815">
        <v>3.02</v>
      </c>
      <c r="Z30" s="690">
        <f t="shared" si="5"/>
        <v>0.60999999999999988</v>
      </c>
      <c r="AA30" s="34"/>
      <c r="AB30" s="834">
        <v>44256</v>
      </c>
      <c r="AC30" s="846">
        <v>1.03</v>
      </c>
      <c r="AD30" s="847">
        <v>1.76</v>
      </c>
      <c r="AE30" s="690">
        <f t="shared" si="6"/>
        <v>0.73</v>
      </c>
    </row>
    <row r="31" spans="1:31">
      <c r="A31" s="34"/>
      <c r="B31" s="34"/>
      <c r="C31" s="34"/>
      <c r="D31" s="34"/>
      <c r="E31" s="34"/>
      <c r="F31" s="34"/>
      <c r="G31" s="34"/>
      <c r="H31" s="833">
        <v>35915</v>
      </c>
      <c r="I31" s="826">
        <v>7.13</v>
      </c>
      <c r="J31" s="826">
        <v>6.82</v>
      </c>
      <c r="K31" s="828">
        <f t="shared" si="2"/>
        <v>-0.30999999999999961</v>
      </c>
      <c r="L31" s="34"/>
      <c r="M31" s="833">
        <v>38107</v>
      </c>
      <c r="N31" s="826">
        <v>5.8578000000000001</v>
      </c>
      <c r="O31" s="826">
        <v>6.0423</v>
      </c>
      <c r="P31" s="828">
        <f t="shared" si="3"/>
        <v>0.18449999999999989</v>
      </c>
      <c r="Q31" s="34"/>
      <c r="R31" s="825">
        <v>40298</v>
      </c>
      <c r="S31" s="826">
        <v>5.1863000000000001</v>
      </c>
      <c r="T31" s="826">
        <v>5.9595000000000002</v>
      </c>
      <c r="U31" s="828">
        <f t="shared" si="4"/>
        <v>0.77320000000000011</v>
      </c>
      <c r="V31" s="34"/>
      <c r="W31" s="834">
        <v>42490</v>
      </c>
      <c r="X31" s="835">
        <v>2.2400000000000002</v>
      </c>
      <c r="Y31" s="835">
        <v>2.86</v>
      </c>
      <c r="Z31" s="690">
        <f t="shared" si="5"/>
        <v>0.61999999999999966</v>
      </c>
      <c r="AA31" s="34"/>
      <c r="AB31" s="834">
        <v>44316</v>
      </c>
      <c r="AC31" s="846">
        <v>0.87</v>
      </c>
      <c r="AD31" s="846">
        <v>1.67</v>
      </c>
      <c r="AE31" s="690">
        <f t="shared" si="6"/>
        <v>0.79999999999999993</v>
      </c>
    </row>
    <row r="32" spans="1:31">
      <c r="A32" s="34"/>
      <c r="B32" s="34"/>
      <c r="C32" s="34"/>
      <c r="D32" s="34"/>
      <c r="E32" s="34"/>
      <c r="F32" s="34"/>
      <c r="G32" s="34"/>
      <c r="H32" s="833">
        <v>35946</v>
      </c>
      <c r="I32" s="826">
        <v>6.93</v>
      </c>
      <c r="J32" s="826">
        <v>6.66</v>
      </c>
      <c r="K32" s="828">
        <f t="shared" si="2"/>
        <v>-0.26999999999999957</v>
      </c>
      <c r="L32" s="34"/>
      <c r="M32" s="833">
        <v>38138</v>
      </c>
      <c r="N32" s="826">
        <v>6.1013999999999999</v>
      </c>
      <c r="O32" s="826">
        <v>6.2560000000000002</v>
      </c>
      <c r="P32" s="828">
        <f t="shared" si="3"/>
        <v>0.15460000000000029</v>
      </c>
      <c r="Q32" s="34"/>
      <c r="R32" s="825">
        <v>40329</v>
      </c>
      <c r="S32" s="826">
        <v>5.0606999999999998</v>
      </c>
      <c r="T32" s="826">
        <v>5.7263999999999999</v>
      </c>
      <c r="U32" s="828">
        <f t="shared" si="4"/>
        <v>0.66570000000000018</v>
      </c>
      <c r="V32" s="34"/>
      <c r="W32" s="834">
        <v>42491</v>
      </c>
      <c r="X32" s="835">
        <v>2.1800000000000002</v>
      </c>
      <c r="Y32" s="835">
        <v>2.67</v>
      </c>
      <c r="Z32" s="690">
        <f t="shared" si="5"/>
        <v>0.48999999999999977</v>
      </c>
      <c r="AA32" s="34"/>
      <c r="AB32" s="834">
        <v>44317</v>
      </c>
      <c r="AC32" s="846">
        <v>1.04</v>
      </c>
      <c r="AD32" s="846">
        <v>1.81</v>
      </c>
      <c r="AE32" s="690">
        <f t="shared" si="6"/>
        <v>0.77</v>
      </c>
    </row>
    <row r="33" spans="1:32">
      <c r="A33" s="34"/>
      <c r="B33" s="34"/>
      <c r="C33" s="34"/>
      <c r="D33" s="34"/>
      <c r="E33" s="34"/>
      <c r="F33" s="34"/>
      <c r="G33" s="34"/>
      <c r="H33" s="833">
        <v>35976</v>
      </c>
      <c r="I33" s="826">
        <v>6.94</v>
      </c>
      <c r="J33" s="827">
        <v>6.6</v>
      </c>
      <c r="K33" s="828">
        <f t="shared" si="2"/>
        <v>-0.34000000000000075</v>
      </c>
      <c r="L33" s="34"/>
      <c r="M33" s="833">
        <v>38168</v>
      </c>
      <c r="N33" s="826">
        <v>6.1601999999999997</v>
      </c>
      <c r="O33" s="827">
        <v>6.2876000000000003</v>
      </c>
      <c r="P33" s="828">
        <f t="shared" si="3"/>
        <v>0.12740000000000062</v>
      </c>
      <c r="Q33" s="34"/>
      <c r="R33" s="825">
        <v>40359</v>
      </c>
      <c r="S33" s="826">
        <v>4.8479000000000001</v>
      </c>
      <c r="T33" s="827">
        <v>5.5140000000000002</v>
      </c>
      <c r="U33" s="828">
        <f t="shared" si="4"/>
        <v>0.66610000000000014</v>
      </c>
      <c r="V33" s="34"/>
      <c r="W33" s="841">
        <v>42551</v>
      </c>
      <c r="X33" s="842">
        <v>2.12</v>
      </c>
      <c r="Y33" s="843">
        <v>2.5099999999999998</v>
      </c>
      <c r="Z33" s="690">
        <f t="shared" si="5"/>
        <v>0.38999999999999968</v>
      </c>
      <c r="AA33" s="34"/>
      <c r="AB33" s="841">
        <v>44377</v>
      </c>
      <c r="AC33" s="855">
        <v>1.03</v>
      </c>
      <c r="AD33" s="1051">
        <v>1.76</v>
      </c>
      <c r="AE33" s="690">
        <f t="shared" si="6"/>
        <v>0.73</v>
      </c>
    </row>
    <row r="34" spans="1:32">
      <c r="A34" s="34"/>
      <c r="B34" s="714"/>
      <c r="C34" s="34"/>
      <c r="D34" s="34"/>
      <c r="E34" s="34"/>
      <c r="F34" s="34"/>
      <c r="G34" s="34"/>
      <c r="H34" s="833">
        <v>36007</v>
      </c>
      <c r="I34" s="826">
        <v>6.57</v>
      </c>
      <c r="J34" s="826">
        <v>6.25</v>
      </c>
      <c r="K34" s="828">
        <f t="shared" si="2"/>
        <v>-0.32000000000000028</v>
      </c>
      <c r="L34" s="34"/>
      <c r="M34" s="833">
        <v>38199</v>
      </c>
      <c r="N34" s="826">
        <v>6.0754999999999999</v>
      </c>
      <c r="O34" s="826">
        <v>6.1768000000000001</v>
      </c>
      <c r="P34" s="828">
        <f t="shared" si="3"/>
        <v>0.10130000000000017</v>
      </c>
      <c r="Q34" s="34"/>
      <c r="R34" s="825">
        <v>40390</v>
      </c>
      <c r="S34" s="826">
        <v>4.7047999999999996</v>
      </c>
      <c r="T34" s="826">
        <v>5.3979999999999997</v>
      </c>
      <c r="U34" s="828">
        <f t="shared" si="4"/>
        <v>0.69320000000000004</v>
      </c>
      <c r="V34" s="34"/>
      <c r="W34" s="841">
        <v>42582</v>
      </c>
      <c r="X34" s="842">
        <v>1.97</v>
      </c>
      <c r="Y34" s="842">
        <v>2.27</v>
      </c>
      <c r="Z34" s="690">
        <f t="shared" si="5"/>
        <v>0.30000000000000004</v>
      </c>
      <c r="AA34" s="34"/>
      <c r="AB34" s="849">
        <v>44408</v>
      </c>
      <c r="AC34" s="846">
        <v>1.1299999999999999</v>
      </c>
      <c r="AD34" s="846">
        <v>1.58</v>
      </c>
      <c r="AE34" s="690">
        <f t="shared" si="6"/>
        <v>0.45000000000000018</v>
      </c>
      <c r="AF34" s="34"/>
    </row>
    <row r="35" spans="1:32">
      <c r="A35" s="34"/>
      <c r="B35" s="186"/>
      <c r="C35" s="34"/>
      <c r="D35" s="34"/>
      <c r="E35" s="34"/>
      <c r="F35" s="34"/>
      <c r="G35" s="34"/>
      <c r="H35" s="833">
        <v>36038</v>
      </c>
      <c r="I35" s="826">
        <v>6.34</v>
      </c>
      <c r="J35" s="826">
        <v>6.17</v>
      </c>
      <c r="K35" s="828">
        <f t="shared" si="2"/>
        <v>-0.16999999999999993</v>
      </c>
      <c r="L35" s="34"/>
      <c r="M35" s="833">
        <v>38230</v>
      </c>
      <c r="N35" s="826">
        <v>6.1647999999999996</v>
      </c>
      <c r="O35" s="826">
        <v>6.2004999999999999</v>
      </c>
      <c r="P35" s="828">
        <f t="shared" si="3"/>
        <v>3.5700000000000287E-2</v>
      </c>
      <c r="Q35" s="34"/>
      <c r="R35" s="825">
        <v>40421</v>
      </c>
      <c r="S35" s="826">
        <v>4.5069999999999997</v>
      </c>
      <c r="T35" s="826">
        <v>5.2417999999999996</v>
      </c>
      <c r="U35" s="828">
        <f t="shared" si="4"/>
        <v>0.7347999999999999</v>
      </c>
      <c r="V35" s="34"/>
      <c r="W35" s="841">
        <v>42613</v>
      </c>
      <c r="X35" s="842">
        <v>1.8</v>
      </c>
      <c r="Y35" s="842">
        <v>2.19</v>
      </c>
      <c r="Z35" s="690">
        <f t="shared" si="5"/>
        <v>0.3899999999999999</v>
      </c>
      <c r="AA35" s="34"/>
      <c r="AB35" s="849">
        <f>AB34+1</f>
        <v>44409</v>
      </c>
      <c r="AC35" s="846">
        <v>1.3</v>
      </c>
      <c r="AD35" s="846">
        <v>1.65</v>
      </c>
      <c r="AE35" s="690">
        <f t="shared" si="6"/>
        <v>0.34999999999999987</v>
      </c>
      <c r="AF35" s="34"/>
    </row>
    <row r="36" spans="1:32">
      <c r="A36" s="34"/>
      <c r="B36" s="34"/>
      <c r="C36" s="34"/>
      <c r="D36" s="34"/>
      <c r="E36" s="34"/>
      <c r="F36" s="34"/>
      <c r="G36" s="34"/>
      <c r="H36" s="833">
        <v>36068</v>
      </c>
      <c r="I36" s="826">
        <v>6.05</v>
      </c>
      <c r="J36" s="826">
        <v>6.02</v>
      </c>
      <c r="K36" s="828">
        <f t="shared" si="2"/>
        <v>-3.0000000000000249E-2</v>
      </c>
      <c r="L36" s="34"/>
      <c r="M36" s="833">
        <v>38260</v>
      </c>
      <c r="N36" s="826">
        <v>6.1809000000000003</v>
      </c>
      <c r="O36" s="826">
        <v>6.1630000000000003</v>
      </c>
      <c r="P36" s="828">
        <f t="shared" si="3"/>
        <v>-1.7900000000000027E-2</v>
      </c>
      <c r="Q36" s="34"/>
      <c r="R36" s="834">
        <v>40451</v>
      </c>
      <c r="S36" s="835">
        <v>4.55</v>
      </c>
      <c r="T36" s="835">
        <v>5.28</v>
      </c>
      <c r="U36" s="828">
        <f t="shared" si="4"/>
        <v>0.73000000000000043</v>
      </c>
      <c r="V36" s="34"/>
      <c r="W36" s="841">
        <v>42643</v>
      </c>
      <c r="X36" s="842">
        <v>1.97</v>
      </c>
      <c r="Y36" s="842">
        <v>2.4</v>
      </c>
      <c r="Z36" s="690">
        <f t="shared" si="5"/>
        <v>0.42999999999999994</v>
      </c>
      <c r="AA36" s="34"/>
      <c r="AB36" s="849">
        <v>44469</v>
      </c>
      <c r="AC36" s="846">
        <v>1.52</v>
      </c>
      <c r="AD36" s="846">
        <v>1.88</v>
      </c>
      <c r="AE36" s="690">
        <f t="shared" si="6"/>
        <v>0.35999999999999988</v>
      </c>
      <c r="AF36" s="34"/>
    </row>
    <row r="37" spans="1:32">
      <c r="A37" s="34"/>
      <c r="B37" s="34"/>
      <c r="C37" s="34"/>
      <c r="D37" s="34"/>
      <c r="E37" s="34"/>
      <c r="F37" s="34"/>
      <c r="G37" s="34"/>
      <c r="H37" s="833">
        <v>36099</v>
      </c>
      <c r="I37" s="826">
        <v>5.4</v>
      </c>
      <c r="J37" s="826">
        <v>5.46</v>
      </c>
      <c r="K37" s="828">
        <f t="shared" si="2"/>
        <v>5.9999999999999609E-2</v>
      </c>
      <c r="L37" s="34"/>
      <c r="M37" s="833">
        <v>38291</v>
      </c>
      <c r="N37" s="826">
        <v>6.0708000000000002</v>
      </c>
      <c r="O37" s="826">
        <v>6.0833000000000004</v>
      </c>
      <c r="P37" s="828">
        <f t="shared" si="3"/>
        <v>1.2500000000000178E-2</v>
      </c>
      <c r="Q37" s="34"/>
      <c r="R37" s="834">
        <v>40482</v>
      </c>
      <c r="S37" s="835">
        <v>4.37</v>
      </c>
      <c r="T37" s="835">
        <v>5.09</v>
      </c>
      <c r="U37" s="828">
        <f t="shared" si="4"/>
        <v>0.71999999999999975</v>
      </c>
      <c r="V37" s="34"/>
      <c r="W37" s="841">
        <v>42674</v>
      </c>
      <c r="X37" s="842">
        <v>2.0699999999999998</v>
      </c>
      <c r="Y37" s="842">
        <v>2.5299999999999998</v>
      </c>
      <c r="Z37" s="690">
        <f t="shared" si="5"/>
        <v>0.45999999999999996</v>
      </c>
      <c r="AA37" s="34"/>
      <c r="AB37" s="849">
        <v>44500</v>
      </c>
      <c r="AC37" s="846">
        <v>1.81</v>
      </c>
      <c r="AD37" s="846">
        <v>2.23</v>
      </c>
      <c r="AE37" s="690">
        <f t="shared" si="6"/>
        <v>0.41999999999999993</v>
      </c>
      <c r="AF37" s="34"/>
    </row>
    <row r="38" spans="1:32">
      <c r="A38" s="34"/>
      <c r="B38" s="34"/>
      <c r="C38" s="34"/>
      <c r="D38" s="34"/>
      <c r="E38" s="34"/>
      <c r="F38" s="34"/>
      <c r="G38" s="34"/>
      <c r="H38" s="833">
        <v>36129</v>
      </c>
      <c r="I38" s="826">
        <v>5.46</v>
      </c>
      <c r="J38" s="826">
        <v>5.59</v>
      </c>
      <c r="K38" s="828">
        <f t="shared" si="2"/>
        <v>0.12999999999999989</v>
      </c>
      <c r="L38" s="34"/>
      <c r="M38" s="833">
        <v>38321</v>
      </c>
      <c r="N38" s="826">
        <v>6.0069999999999997</v>
      </c>
      <c r="O38" s="826">
        <v>6.0475000000000003</v>
      </c>
      <c r="P38" s="828">
        <f t="shared" si="3"/>
        <v>4.0500000000000647E-2</v>
      </c>
      <c r="Q38" s="34"/>
      <c r="R38" s="834">
        <v>40512</v>
      </c>
      <c r="S38" s="835">
        <v>4.72</v>
      </c>
      <c r="T38" s="835">
        <v>5.49</v>
      </c>
      <c r="U38" s="828">
        <f t="shared" si="4"/>
        <v>0.77000000000000046</v>
      </c>
      <c r="V38" s="34"/>
      <c r="W38" s="841">
        <v>42704</v>
      </c>
      <c r="X38" s="842">
        <v>2.4</v>
      </c>
      <c r="Y38" s="842">
        <v>2.99</v>
      </c>
      <c r="Z38" s="690">
        <f t="shared" si="5"/>
        <v>0.5900000000000003</v>
      </c>
      <c r="AA38" s="34"/>
      <c r="AB38" s="849">
        <v>44530</v>
      </c>
      <c r="AC38" s="846">
        <v>2.33</v>
      </c>
      <c r="AD38" s="846">
        <v>2.57</v>
      </c>
      <c r="AE38" s="690">
        <f t="shared" si="6"/>
        <v>0.23999999999999977</v>
      </c>
      <c r="AF38" s="34"/>
    </row>
    <row r="39" spans="1:32">
      <c r="A39" s="34"/>
      <c r="B39" s="34"/>
      <c r="C39" s="34"/>
      <c r="D39" s="34"/>
      <c r="E39" s="34"/>
      <c r="F39" s="34"/>
      <c r="G39" s="34"/>
      <c r="H39" s="833">
        <v>36160</v>
      </c>
      <c r="I39" s="826">
        <v>5.27</v>
      </c>
      <c r="J39" s="836">
        <v>5.38</v>
      </c>
      <c r="K39" s="828">
        <f t="shared" si="2"/>
        <v>0.11000000000000032</v>
      </c>
      <c r="L39" s="34"/>
      <c r="M39" s="833">
        <v>38352</v>
      </c>
      <c r="N39" s="826">
        <v>5.9779</v>
      </c>
      <c r="O39" s="836">
        <v>5.9526000000000003</v>
      </c>
      <c r="P39" s="828">
        <f t="shared" si="3"/>
        <v>-2.5299999999999656E-2</v>
      </c>
      <c r="Q39" s="34"/>
      <c r="R39" s="834">
        <v>40543</v>
      </c>
      <c r="S39" s="835">
        <v>4.79</v>
      </c>
      <c r="T39" s="837">
        <v>5.82</v>
      </c>
      <c r="U39" s="828">
        <f t="shared" si="4"/>
        <v>1.0300000000000002</v>
      </c>
      <c r="V39" s="34"/>
      <c r="W39" s="841">
        <v>42735</v>
      </c>
      <c r="X39" s="842">
        <v>2.62</v>
      </c>
      <c r="Y39" s="844">
        <v>3.33</v>
      </c>
      <c r="Z39" s="690">
        <f t="shared" si="5"/>
        <v>0.71</v>
      </c>
      <c r="AA39" s="34"/>
      <c r="AB39" s="849">
        <v>44561</v>
      </c>
      <c r="AC39" s="846">
        <v>2.21</v>
      </c>
      <c r="AD39" s="850">
        <v>2.37</v>
      </c>
      <c r="AE39" s="690">
        <f t="shared" si="6"/>
        <v>0.16000000000000014</v>
      </c>
      <c r="AF39" s="34"/>
    </row>
    <row r="40" spans="1:32">
      <c r="A40" s="34"/>
      <c r="B40" s="34"/>
      <c r="C40" s="34"/>
      <c r="D40" s="34"/>
      <c r="E40" s="34"/>
      <c r="F40" s="34"/>
      <c r="G40" s="34"/>
      <c r="H40" s="833">
        <v>36191</v>
      </c>
      <c r="I40" s="826">
        <v>5.41</v>
      </c>
      <c r="J40" s="838">
        <v>5.5327999999999999</v>
      </c>
      <c r="K40" s="828">
        <f t="shared" si="2"/>
        <v>0.1227999999999998</v>
      </c>
      <c r="L40" s="34"/>
      <c r="M40" s="833">
        <v>38383</v>
      </c>
      <c r="N40" s="826">
        <v>6.0381999999999998</v>
      </c>
      <c r="O40" s="838">
        <v>5.9904999999999999</v>
      </c>
      <c r="P40" s="828">
        <f t="shared" si="3"/>
        <v>-4.7699999999999854E-2</v>
      </c>
      <c r="Q40" s="34"/>
      <c r="R40" s="834">
        <v>40574</v>
      </c>
      <c r="S40" s="835">
        <v>4.6100000000000003</v>
      </c>
      <c r="T40" s="839">
        <v>5.61</v>
      </c>
      <c r="U40" s="828">
        <f t="shared" si="4"/>
        <v>1</v>
      </c>
      <c r="V40" s="34"/>
      <c r="W40" s="841">
        <v>42766</v>
      </c>
      <c r="X40" s="842">
        <v>2.61</v>
      </c>
      <c r="Y40" s="845">
        <v>3.23</v>
      </c>
      <c r="Z40" s="690">
        <f t="shared" si="5"/>
        <v>0.62000000000000011</v>
      </c>
      <c r="AA40" s="34"/>
      <c r="AB40" s="849">
        <v>44592</v>
      </c>
      <c r="AC40" s="34"/>
      <c r="AD40" s="34"/>
      <c r="AE40" s="690">
        <f t="shared" si="6"/>
        <v>0</v>
      </c>
      <c r="AF40" s="34"/>
    </row>
    <row r="41" spans="1:32">
      <c r="A41" s="34"/>
      <c r="B41" s="34"/>
      <c r="C41" s="34"/>
      <c r="D41" s="34"/>
      <c r="E41" s="34"/>
      <c r="F41" s="34"/>
      <c r="G41" s="34"/>
      <c r="H41" s="833">
        <v>36219</v>
      </c>
      <c r="I41" s="826">
        <v>5.4255000000000004</v>
      </c>
      <c r="J41" s="826">
        <v>5.617</v>
      </c>
      <c r="K41" s="828">
        <f t="shared" si="2"/>
        <v>0.19149999999999956</v>
      </c>
      <c r="L41" s="34"/>
      <c r="M41" s="833">
        <v>38411</v>
      </c>
      <c r="N41" s="826">
        <v>6.0914999999999999</v>
      </c>
      <c r="O41" s="826">
        <v>5.9539999999999997</v>
      </c>
      <c r="P41" s="828">
        <f t="shared" si="3"/>
        <v>-0.13750000000000018</v>
      </c>
      <c r="Q41" s="34"/>
      <c r="R41" s="834">
        <v>40602</v>
      </c>
      <c r="S41" s="835">
        <v>4.49</v>
      </c>
      <c r="T41" s="835">
        <v>5.56</v>
      </c>
      <c r="U41" s="828">
        <f t="shared" si="4"/>
        <v>1.0699999999999994</v>
      </c>
      <c r="V41" s="34"/>
      <c r="W41" s="841">
        <v>42794</v>
      </c>
      <c r="X41" s="842">
        <v>2.61</v>
      </c>
      <c r="Y41" s="842">
        <v>3.29</v>
      </c>
      <c r="Z41" s="690">
        <f t="shared" si="5"/>
        <v>0.68000000000000016</v>
      </c>
      <c r="AA41" s="34"/>
      <c r="AB41" s="834">
        <v>44620</v>
      </c>
      <c r="AC41" s="34"/>
      <c r="AD41" s="34"/>
      <c r="AE41" s="690">
        <f t="shared" si="6"/>
        <v>0</v>
      </c>
      <c r="AF41" s="34"/>
    </row>
    <row r="42" spans="1:32">
      <c r="A42" s="34"/>
      <c r="B42" s="34"/>
      <c r="C42" s="34"/>
      <c r="D42" s="34"/>
      <c r="E42" s="34"/>
      <c r="F42" s="34"/>
      <c r="G42" s="34"/>
      <c r="H42" s="833">
        <v>36250</v>
      </c>
      <c r="I42" s="826">
        <v>5.5526</v>
      </c>
      <c r="J42" s="840">
        <v>5.8377999999999997</v>
      </c>
      <c r="K42" s="828">
        <f t="shared" si="2"/>
        <v>0.28519999999999968</v>
      </c>
      <c r="L42" s="34"/>
      <c r="M42" s="833">
        <v>38442</v>
      </c>
      <c r="N42" s="826">
        <v>6.2901999999999996</v>
      </c>
      <c r="O42" s="840">
        <v>6.1614000000000004</v>
      </c>
      <c r="P42" s="828">
        <f t="shared" si="3"/>
        <v>-0.12879999999999914</v>
      </c>
      <c r="Q42" s="34"/>
      <c r="R42" s="834">
        <v>40633</v>
      </c>
      <c r="S42" s="835">
        <v>4.32</v>
      </c>
      <c r="T42" s="815">
        <v>5.58</v>
      </c>
      <c r="U42" s="828">
        <f t="shared" si="4"/>
        <v>1.2599999999999998</v>
      </c>
      <c r="V42" s="34"/>
      <c r="W42" s="841">
        <v>42795</v>
      </c>
      <c r="X42" s="846">
        <v>2.56</v>
      </c>
      <c r="Y42" s="847">
        <v>3.28</v>
      </c>
      <c r="Z42" s="690">
        <f t="shared" si="5"/>
        <v>0.71999999999999975</v>
      </c>
      <c r="AA42" s="34"/>
      <c r="AB42" s="834">
        <v>44621</v>
      </c>
      <c r="AC42" s="34"/>
      <c r="AD42" s="34"/>
      <c r="AE42" s="690">
        <f t="shared" si="6"/>
        <v>0</v>
      </c>
      <c r="AF42" s="34"/>
    </row>
    <row r="43" spans="1:32">
      <c r="A43" s="34"/>
      <c r="B43" s="34"/>
      <c r="C43" s="34"/>
      <c r="D43" s="34"/>
      <c r="E43" s="34"/>
      <c r="F43" s="34"/>
      <c r="G43" s="34"/>
      <c r="H43" s="833">
        <v>36280</v>
      </c>
      <c r="I43" s="826">
        <v>5.3661000000000003</v>
      </c>
      <c r="J43" s="826">
        <v>5.7005999999999997</v>
      </c>
      <c r="K43" s="828">
        <f t="shared" si="2"/>
        <v>0.33449999999999935</v>
      </c>
      <c r="L43" s="34"/>
      <c r="M43" s="833">
        <v>38472</v>
      </c>
      <c r="N43" s="826">
        <v>6.0910000000000002</v>
      </c>
      <c r="O43" s="826">
        <v>5.9889999999999999</v>
      </c>
      <c r="P43" s="828">
        <f t="shared" si="3"/>
        <v>-0.10200000000000031</v>
      </c>
      <c r="Q43" s="34"/>
      <c r="R43" s="834">
        <v>40663</v>
      </c>
      <c r="S43" s="835">
        <v>4.47</v>
      </c>
      <c r="T43" s="835">
        <v>5.7</v>
      </c>
      <c r="U43" s="828">
        <f t="shared" si="4"/>
        <v>1.2300000000000004</v>
      </c>
      <c r="V43" s="34"/>
      <c r="W43" s="841">
        <v>42827</v>
      </c>
      <c r="X43" s="846">
        <v>2.41</v>
      </c>
      <c r="Y43" s="846">
        <v>3.05</v>
      </c>
      <c r="Z43" s="690">
        <f t="shared" si="5"/>
        <v>0.63999999999999968</v>
      </c>
      <c r="AA43" s="34"/>
      <c r="AB43" s="834">
        <v>44681</v>
      </c>
      <c r="AC43" s="34"/>
      <c r="AD43" s="34"/>
      <c r="AE43" s="690">
        <f t="shared" si="6"/>
        <v>0</v>
      </c>
      <c r="AF43" s="34"/>
    </row>
    <row r="44" spans="1:32">
      <c r="A44" s="34"/>
      <c r="B44" s="34"/>
      <c r="C44" s="34"/>
      <c r="D44" s="34"/>
      <c r="E44" s="34"/>
      <c r="F44" s="34"/>
      <c r="G44" s="34"/>
      <c r="H44" s="833">
        <v>36311</v>
      </c>
      <c r="I44" s="826">
        <v>5.7271000000000001</v>
      </c>
      <c r="J44" s="826">
        <v>6.1166999999999998</v>
      </c>
      <c r="K44" s="828">
        <f t="shared" si="2"/>
        <v>0.38959999999999972</v>
      </c>
      <c r="L44" s="34"/>
      <c r="M44" s="833">
        <v>38503</v>
      </c>
      <c r="N44" s="826">
        <v>5.9141000000000004</v>
      </c>
      <c r="O44" s="826">
        <v>5.8070000000000004</v>
      </c>
      <c r="P44" s="828">
        <f t="shared" si="3"/>
        <v>-0.10709999999999997</v>
      </c>
      <c r="Q44" s="34"/>
      <c r="R44" s="834">
        <v>40694</v>
      </c>
      <c r="S44" s="835">
        <v>4.1500000000000004</v>
      </c>
      <c r="T44" s="835">
        <v>5.23</v>
      </c>
      <c r="U44" s="828">
        <f t="shared" si="4"/>
        <v>1.08</v>
      </c>
      <c r="V44" s="34"/>
      <c r="W44" s="841">
        <v>42858</v>
      </c>
      <c r="X44" s="846">
        <v>2.39</v>
      </c>
      <c r="Y44" s="846">
        <v>2.93</v>
      </c>
      <c r="Z44" s="690">
        <f t="shared" si="5"/>
        <v>0.54</v>
      </c>
      <c r="AA44" s="34"/>
      <c r="AB44" s="834">
        <v>44682</v>
      </c>
      <c r="AC44" s="34"/>
      <c r="AD44" s="34"/>
      <c r="AE44" s="690">
        <f t="shared" si="6"/>
        <v>0</v>
      </c>
      <c r="AF44" s="34"/>
    </row>
    <row r="45" spans="1:32">
      <c r="A45" s="34"/>
      <c r="B45" s="34"/>
      <c r="C45" s="34"/>
      <c r="D45" s="34"/>
      <c r="E45" s="34"/>
      <c r="F45" s="34"/>
      <c r="G45" s="34"/>
      <c r="H45" s="833">
        <v>36341</v>
      </c>
      <c r="I45" s="826">
        <v>6.1467000000000001</v>
      </c>
      <c r="J45" s="827">
        <v>6.5148000000000001</v>
      </c>
      <c r="K45" s="828">
        <f t="shared" si="2"/>
        <v>0.36810000000000009</v>
      </c>
      <c r="L45" s="34"/>
      <c r="M45" s="833">
        <v>38533</v>
      </c>
      <c r="N45" s="826">
        <v>5.8380999999999998</v>
      </c>
      <c r="O45" s="827">
        <v>5.7110000000000003</v>
      </c>
      <c r="P45" s="828">
        <f t="shared" si="3"/>
        <v>-0.12709999999999955</v>
      </c>
      <c r="Q45" s="34"/>
      <c r="R45" s="834">
        <v>40724</v>
      </c>
      <c r="S45" s="835">
        <v>3.99</v>
      </c>
      <c r="T45" s="817">
        <v>5.04</v>
      </c>
      <c r="U45" s="828">
        <f t="shared" si="4"/>
        <v>1.0499999999999998</v>
      </c>
      <c r="V45" s="34"/>
      <c r="W45" s="841">
        <v>42890</v>
      </c>
      <c r="X45" s="846">
        <v>2.46</v>
      </c>
      <c r="Y45" s="848">
        <v>2.77</v>
      </c>
      <c r="Z45" s="690">
        <f t="shared" si="5"/>
        <v>0.31000000000000005</v>
      </c>
      <c r="AA45" s="34"/>
      <c r="AB45" s="841">
        <v>44742</v>
      </c>
      <c r="AC45" s="43"/>
      <c r="AD45" s="43"/>
      <c r="AE45" s="690">
        <f t="shared" si="6"/>
        <v>0</v>
      </c>
      <c r="AF45" s="34"/>
    </row>
    <row r="46" spans="1:32">
      <c r="A46" s="34"/>
      <c r="B46" s="34"/>
      <c r="C46" s="34"/>
      <c r="D46" s="34"/>
      <c r="E46" s="34"/>
      <c r="F46" s="34"/>
      <c r="G46" s="34"/>
      <c r="H46" s="833">
        <v>36372</v>
      </c>
      <c r="I46" s="826">
        <v>6.1318000000000001</v>
      </c>
      <c r="J46" s="826">
        <v>6.5395000000000003</v>
      </c>
      <c r="K46" s="828">
        <f t="shared" si="2"/>
        <v>0.40770000000000017</v>
      </c>
      <c r="L46" s="34"/>
      <c r="M46" s="833">
        <v>38564</v>
      </c>
      <c r="N46" s="826">
        <v>5.8338000000000001</v>
      </c>
      <c r="O46" s="826">
        <v>5.7529000000000003</v>
      </c>
      <c r="P46" s="828">
        <f t="shared" si="3"/>
        <v>-8.089999999999975E-2</v>
      </c>
      <c r="Q46" s="34"/>
      <c r="R46" s="834">
        <v>40755</v>
      </c>
      <c r="S46" s="835">
        <v>4.03</v>
      </c>
      <c r="T46" s="835">
        <v>5.07</v>
      </c>
      <c r="U46" s="828">
        <f t="shared" si="4"/>
        <v>1.04</v>
      </c>
      <c r="V46" s="34"/>
      <c r="W46" s="849">
        <v>42947</v>
      </c>
      <c r="X46" s="846">
        <v>2.63</v>
      </c>
      <c r="Y46" s="846">
        <v>2.97</v>
      </c>
      <c r="Z46" s="690">
        <f t="shared" si="5"/>
        <v>0.3400000000000003</v>
      </c>
      <c r="AA46" s="34"/>
      <c r="AB46" s="34"/>
      <c r="AC46" s="846"/>
      <c r="AD46" s="846"/>
      <c r="AE46" s="34"/>
      <c r="AF46" s="34"/>
    </row>
    <row r="47" spans="1:32">
      <c r="A47" s="34"/>
      <c r="B47" s="34"/>
      <c r="C47" s="34"/>
      <c r="D47" s="34"/>
      <c r="E47" s="34"/>
      <c r="F47" s="34"/>
      <c r="G47" s="34"/>
      <c r="H47" s="833">
        <v>36403</v>
      </c>
      <c r="I47" s="826">
        <v>6.4927000000000001</v>
      </c>
      <c r="J47" s="826">
        <v>6.8768000000000002</v>
      </c>
      <c r="K47" s="828">
        <f t="shared" si="2"/>
        <v>0.38410000000000011</v>
      </c>
      <c r="L47" s="34"/>
      <c r="M47" s="833">
        <v>38595</v>
      </c>
      <c r="N47" s="826">
        <v>5.7765000000000004</v>
      </c>
      <c r="O47" s="826">
        <v>5.7706999999999997</v>
      </c>
      <c r="P47" s="828">
        <f t="shared" si="3"/>
        <v>-5.8000000000006935E-3</v>
      </c>
      <c r="Q47" s="34"/>
      <c r="R47" s="834">
        <v>40786</v>
      </c>
      <c r="S47" s="835">
        <v>3.63</v>
      </c>
      <c r="T47" s="835">
        <v>4.55</v>
      </c>
      <c r="U47" s="828">
        <f t="shared" si="4"/>
        <v>0.91999999999999993</v>
      </c>
      <c r="V47" s="34"/>
      <c r="W47" s="849">
        <v>42978</v>
      </c>
      <c r="X47" s="846">
        <v>2.4700000000000002</v>
      </c>
      <c r="Y47" s="846">
        <v>2.88</v>
      </c>
      <c r="Z47" s="690">
        <f t="shared" si="5"/>
        <v>0.4099999999999997</v>
      </c>
      <c r="AA47" s="34"/>
      <c r="AB47" s="34"/>
      <c r="AC47" s="34"/>
      <c r="AD47" s="34"/>
      <c r="AE47" s="34"/>
      <c r="AF47" s="34"/>
    </row>
    <row r="48" spans="1:32">
      <c r="A48" s="34"/>
      <c r="B48" s="34"/>
      <c r="C48" s="34"/>
      <c r="D48" s="34"/>
      <c r="E48" s="34"/>
      <c r="F48" s="34"/>
      <c r="G48" s="34"/>
      <c r="H48" s="833">
        <v>36433</v>
      </c>
      <c r="I48" s="826">
        <v>6.67</v>
      </c>
      <c r="J48" s="826">
        <v>6.9114000000000004</v>
      </c>
      <c r="K48" s="828">
        <f t="shared" si="2"/>
        <v>0.2414000000000005</v>
      </c>
      <c r="L48" s="34"/>
      <c r="M48" s="833">
        <v>38625</v>
      </c>
      <c r="N48" s="826">
        <v>5.7427000000000001</v>
      </c>
      <c r="O48" s="826">
        <v>5.7051999999999996</v>
      </c>
      <c r="P48" s="828">
        <f t="shared" si="3"/>
        <v>-3.7500000000000533E-2</v>
      </c>
      <c r="Q48" s="34"/>
      <c r="R48" s="834">
        <v>40816</v>
      </c>
      <c r="S48" s="835">
        <v>3.45</v>
      </c>
      <c r="T48" s="835">
        <v>4.41</v>
      </c>
      <c r="U48" s="828">
        <f t="shared" si="4"/>
        <v>0.96</v>
      </c>
      <c r="V48" s="34"/>
      <c r="W48" s="849">
        <v>43008</v>
      </c>
      <c r="X48" s="846">
        <v>2.5</v>
      </c>
      <c r="Y48" s="846">
        <v>2.91</v>
      </c>
      <c r="Z48" s="690">
        <f t="shared" si="5"/>
        <v>0.41000000000000014</v>
      </c>
      <c r="AA48" s="34"/>
      <c r="AB48" s="34"/>
      <c r="AC48" s="34"/>
      <c r="AD48" s="34"/>
      <c r="AE48" s="34"/>
      <c r="AF48" s="34"/>
    </row>
    <row r="49" spans="1:32">
      <c r="A49" s="34"/>
      <c r="B49" s="34"/>
      <c r="C49" s="34"/>
      <c r="D49" s="34"/>
      <c r="E49" s="34"/>
      <c r="F49" s="34"/>
      <c r="G49" s="34"/>
      <c r="H49" s="833">
        <v>36464</v>
      </c>
      <c r="I49" s="826">
        <v>6.8295000000000003</v>
      </c>
      <c r="J49" s="826">
        <v>7.1055000000000001</v>
      </c>
      <c r="K49" s="828">
        <f t="shared" si="2"/>
        <v>0.2759999999999998</v>
      </c>
      <c r="L49" s="34"/>
      <c r="M49" s="833">
        <v>38656</v>
      </c>
      <c r="N49" s="826">
        <v>5.9863</v>
      </c>
      <c r="O49" s="826">
        <v>5.8837999999999999</v>
      </c>
      <c r="P49" s="828">
        <f t="shared" si="3"/>
        <v>-0.10250000000000004</v>
      </c>
      <c r="Q49" s="34"/>
      <c r="R49" s="834">
        <v>40847</v>
      </c>
      <c r="S49" s="835">
        <v>4.05</v>
      </c>
      <c r="T49" s="835">
        <v>4.54</v>
      </c>
      <c r="U49" s="828">
        <f t="shared" si="4"/>
        <v>0.49000000000000021</v>
      </c>
      <c r="V49" s="34"/>
      <c r="W49" s="849">
        <v>43039</v>
      </c>
      <c r="X49" s="846">
        <v>2.52</v>
      </c>
      <c r="Y49" s="846">
        <v>2.97</v>
      </c>
      <c r="Z49" s="690">
        <f t="shared" si="5"/>
        <v>0.45000000000000018</v>
      </c>
      <c r="AA49" s="34"/>
      <c r="AB49" s="34"/>
      <c r="AC49" s="34"/>
      <c r="AD49" s="34"/>
      <c r="AE49" s="34"/>
      <c r="AF49" s="34"/>
    </row>
    <row r="50" spans="1:32">
      <c r="A50" s="34"/>
      <c r="B50" s="34"/>
      <c r="C50" s="34"/>
      <c r="D50" s="34"/>
      <c r="E50" s="34"/>
      <c r="F50" s="34"/>
      <c r="G50" s="34"/>
      <c r="H50" s="833">
        <v>36494</v>
      </c>
      <c r="I50" s="826">
        <v>6.7995000000000001</v>
      </c>
      <c r="J50" s="826">
        <v>7.0227000000000004</v>
      </c>
      <c r="K50" s="828">
        <f t="shared" si="2"/>
        <v>0.22320000000000029</v>
      </c>
      <c r="L50" s="34"/>
      <c r="M50" s="833">
        <v>38686</v>
      </c>
      <c r="N50" s="826">
        <v>6.1634000000000002</v>
      </c>
      <c r="O50" s="826">
        <v>5.9470000000000001</v>
      </c>
      <c r="P50" s="828">
        <f t="shared" si="3"/>
        <v>-0.21640000000000015</v>
      </c>
      <c r="Q50" s="34"/>
      <c r="R50" s="834">
        <v>40877</v>
      </c>
      <c r="S50" s="835">
        <v>3.66</v>
      </c>
      <c r="T50" s="835">
        <v>4.1399999999999997</v>
      </c>
      <c r="U50" s="828">
        <f t="shared" si="4"/>
        <v>0.47999999999999954</v>
      </c>
      <c r="V50" s="34"/>
      <c r="W50" s="849">
        <v>43069</v>
      </c>
      <c r="X50" s="846">
        <v>2.42</v>
      </c>
      <c r="Y50" s="846">
        <v>2.85</v>
      </c>
      <c r="Z50" s="690">
        <f t="shared" si="5"/>
        <v>0.43000000000000016</v>
      </c>
      <c r="AA50" s="34"/>
      <c r="AB50" s="34"/>
      <c r="AC50" s="34"/>
      <c r="AD50" s="34"/>
      <c r="AE50" s="34"/>
      <c r="AF50" s="34"/>
    </row>
    <row r="51" spans="1:32">
      <c r="A51" s="34"/>
      <c r="B51" s="34"/>
      <c r="C51" s="34"/>
      <c r="D51" s="34"/>
      <c r="E51" s="34"/>
      <c r="F51" s="34"/>
      <c r="G51" s="34"/>
      <c r="H51" s="833">
        <v>36525</v>
      </c>
      <c r="I51" s="826">
        <v>6.9881000000000002</v>
      </c>
      <c r="J51" s="836">
        <v>7.1714000000000002</v>
      </c>
      <c r="K51" s="828">
        <f t="shared" si="2"/>
        <v>0.18330000000000002</v>
      </c>
      <c r="L51" s="34"/>
      <c r="M51" s="833">
        <v>38717</v>
      </c>
      <c r="N51" s="826">
        <v>5.9459999999999997</v>
      </c>
      <c r="O51" s="836">
        <v>5.8304999999999998</v>
      </c>
      <c r="P51" s="828">
        <f t="shared" si="3"/>
        <v>-0.11549999999999994</v>
      </c>
      <c r="Q51" s="34"/>
      <c r="R51" s="834">
        <v>40908</v>
      </c>
      <c r="S51" s="835">
        <v>3.39</v>
      </c>
      <c r="T51" s="837">
        <v>3.91</v>
      </c>
      <c r="U51" s="828">
        <f t="shared" si="4"/>
        <v>0.52</v>
      </c>
      <c r="V51" s="34"/>
      <c r="W51" s="849">
        <v>43100</v>
      </c>
      <c r="X51" s="846">
        <v>2.33</v>
      </c>
      <c r="Y51" s="850">
        <v>2.76</v>
      </c>
      <c r="Z51" s="690">
        <f t="shared" si="5"/>
        <v>0.42999999999999972</v>
      </c>
      <c r="AA51" s="34"/>
      <c r="AB51" s="34"/>
      <c r="AC51" s="34"/>
      <c r="AD51" s="34"/>
      <c r="AE51" s="34"/>
      <c r="AF51" s="34"/>
    </row>
    <row r="52" spans="1:32">
      <c r="A52" s="34"/>
      <c r="B52" s="34"/>
      <c r="C52" s="34"/>
      <c r="D52" s="34"/>
      <c r="E52" s="34"/>
      <c r="F52" s="34"/>
      <c r="G52" s="34"/>
      <c r="H52" s="833">
        <v>36556</v>
      </c>
      <c r="I52" s="826">
        <v>7.2836999999999996</v>
      </c>
      <c r="J52" s="838">
        <v>7.4763000000000002</v>
      </c>
      <c r="K52" s="828">
        <f t="shared" si="2"/>
        <v>0.19260000000000055</v>
      </c>
      <c r="L52" s="34"/>
      <c r="M52" s="833">
        <v>38748</v>
      </c>
      <c r="N52" s="826">
        <v>5.7714999999999996</v>
      </c>
      <c r="O52" s="838">
        <v>5.7240000000000002</v>
      </c>
      <c r="P52" s="828">
        <f t="shared" si="3"/>
        <v>-4.7499999999999432E-2</v>
      </c>
      <c r="Q52" s="34"/>
      <c r="R52" s="834">
        <v>40939</v>
      </c>
      <c r="S52" s="835">
        <v>3.36</v>
      </c>
      <c r="T52" s="839">
        <v>3.86</v>
      </c>
      <c r="U52" s="828">
        <f t="shared" si="4"/>
        <v>0.5</v>
      </c>
      <c r="V52" s="34"/>
      <c r="W52" s="849">
        <v>43131</v>
      </c>
      <c r="X52" s="846">
        <v>2.42</v>
      </c>
      <c r="Y52" s="851">
        <v>2.88</v>
      </c>
      <c r="Z52" s="690">
        <f t="shared" si="5"/>
        <v>0.45999999999999996</v>
      </c>
      <c r="AA52" s="34"/>
      <c r="AB52" s="34"/>
      <c r="AC52" s="34"/>
      <c r="AD52" s="34"/>
      <c r="AE52" s="34"/>
      <c r="AF52" s="34"/>
    </row>
    <row r="53" spans="1:32">
      <c r="A53" s="34"/>
      <c r="B53" s="34"/>
      <c r="C53" s="34"/>
      <c r="D53" s="34"/>
      <c r="E53" s="34"/>
      <c r="F53" s="34"/>
      <c r="G53" s="34"/>
      <c r="H53" s="833">
        <v>36585</v>
      </c>
      <c r="I53" s="826">
        <v>7.2538</v>
      </c>
      <c r="J53" s="826">
        <v>7.3137999999999996</v>
      </c>
      <c r="K53" s="828">
        <f t="shared" si="2"/>
        <v>5.9999999999999609E-2</v>
      </c>
      <c r="L53" s="34"/>
      <c r="M53" s="833">
        <v>38776</v>
      </c>
      <c r="N53" s="826">
        <v>5.7386999999999997</v>
      </c>
      <c r="O53" s="826">
        <v>5.6961000000000004</v>
      </c>
      <c r="P53" s="828">
        <f t="shared" si="3"/>
        <v>-4.2599999999999305E-2</v>
      </c>
      <c r="Q53" s="34"/>
      <c r="R53" s="834">
        <v>40968</v>
      </c>
      <c r="S53" s="835">
        <v>3.5</v>
      </c>
      <c r="T53" s="835">
        <v>3.98</v>
      </c>
      <c r="U53" s="828">
        <f t="shared" si="4"/>
        <v>0.48</v>
      </c>
      <c r="V53" s="34"/>
      <c r="W53" s="849">
        <v>43159</v>
      </c>
      <c r="X53" s="846">
        <v>2.41</v>
      </c>
      <c r="Y53" s="846">
        <v>2.96</v>
      </c>
      <c r="Z53" s="690">
        <f t="shared" si="5"/>
        <v>0.54999999999999982</v>
      </c>
      <c r="AA53" s="34"/>
      <c r="AB53" s="34"/>
      <c r="AC53" s="34"/>
      <c r="AD53" s="34"/>
      <c r="AE53" s="34"/>
      <c r="AF53" s="34"/>
    </row>
    <row r="54" spans="1:32">
      <c r="A54" s="34"/>
      <c r="B54" s="34"/>
      <c r="C54" s="34"/>
      <c r="D54" s="34"/>
      <c r="E54" s="34"/>
      <c r="F54" s="34"/>
      <c r="G54" s="34"/>
      <c r="H54" s="833">
        <v>36616</v>
      </c>
      <c r="I54" s="826">
        <v>7.0365000000000002</v>
      </c>
      <c r="J54" s="840">
        <v>7.0556999999999999</v>
      </c>
      <c r="K54" s="828">
        <f t="shared" si="2"/>
        <v>1.9199999999999662E-2</v>
      </c>
      <c r="L54" s="34"/>
      <c r="M54" s="833">
        <v>38807</v>
      </c>
      <c r="N54" s="826">
        <v>5.8034999999999997</v>
      </c>
      <c r="O54" s="840">
        <v>5.7187000000000001</v>
      </c>
      <c r="P54" s="828">
        <f t="shared" si="3"/>
        <v>-8.4799999999999542E-2</v>
      </c>
      <c r="Q54" s="34"/>
      <c r="R54" s="834">
        <v>40999</v>
      </c>
      <c r="S54" s="835">
        <v>3.71</v>
      </c>
      <c r="T54" s="815">
        <v>4.17</v>
      </c>
      <c r="U54" s="828">
        <f t="shared" si="4"/>
        <v>0.45999999999999996</v>
      </c>
      <c r="V54" s="34"/>
      <c r="W54" s="841">
        <v>43162</v>
      </c>
      <c r="X54" s="846">
        <v>2.37</v>
      </c>
      <c r="Y54" s="847">
        <v>2.87</v>
      </c>
      <c r="Z54" s="690">
        <f t="shared" si="5"/>
        <v>0.5</v>
      </c>
      <c r="AA54" s="34"/>
      <c r="AB54" s="34"/>
      <c r="AC54" s="34"/>
      <c r="AD54" s="34"/>
      <c r="AE54" s="34"/>
      <c r="AF54" s="34"/>
    </row>
    <row r="55" spans="1:32">
      <c r="A55" s="34"/>
      <c r="B55" s="34"/>
      <c r="C55" s="34"/>
      <c r="D55" s="34"/>
      <c r="E55" s="34"/>
      <c r="F55" s="34"/>
      <c r="G55" s="34"/>
      <c r="H55" s="833">
        <v>36646</v>
      </c>
      <c r="I55" s="826">
        <v>6.8959000000000001</v>
      </c>
      <c r="J55" s="826">
        <v>6.8429000000000002</v>
      </c>
      <c r="K55" s="828">
        <f t="shared" si="2"/>
        <v>-5.2999999999999936E-2</v>
      </c>
      <c r="L55" s="34"/>
      <c r="M55" s="833">
        <v>38837</v>
      </c>
      <c r="N55" s="826">
        <v>5.8281999999999998</v>
      </c>
      <c r="O55" s="826">
        <v>5.74</v>
      </c>
      <c r="P55" s="828">
        <f t="shared" si="3"/>
        <v>-8.8199999999999612E-2</v>
      </c>
      <c r="Q55" s="34"/>
      <c r="R55" s="834">
        <v>41029</v>
      </c>
      <c r="S55" s="835">
        <v>3.54</v>
      </c>
      <c r="T55" s="835">
        <v>3.98</v>
      </c>
      <c r="U55" s="828">
        <f t="shared" si="4"/>
        <v>0.43999999999999995</v>
      </c>
      <c r="V55" s="34"/>
      <c r="W55" s="834">
        <v>43220</v>
      </c>
      <c r="X55" s="846">
        <v>2.37</v>
      </c>
      <c r="Y55" s="846">
        <v>2.82</v>
      </c>
      <c r="Z55" s="690">
        <f t="shared" si="5"/>
        <v>0.44999999999999973</v>
      </c>
      <c r="AA55" s="34"/>
      <c r="AB55" s="34"/>
      <c r="AC55" s="34"/>
    </row>
    <row r="56" spans="1:32">
      <c r="A56" s="34"/>
      <c r="B56" s="34"/>
      <c r="C56" s="34"/>
      <c r="D56" s="34"/>
      <c r="E56" s="34"/>
      <c r="F56" s="34"/>
      <c r="G56" s="34"/>
      <c r="H56" s="833">
        <v>36677</v>
      </c>
      <c r="I56" s="826">
        <v>7.1226000000000003</v>
      </c>
      <c r="J56" s="826">
        <v>7.0995999999999997</v>
      </c>
      <c r="K56" s="828">
        <f t="shared" si="2"/>
        <v>-2.3000000000000576E-2</v>
      </c>
      <c r="L56" s="34"/>
      <c r="M56" s="833">
        <v>38868</v>
      </c>
      <c r="N56" s="826">
        <v>5.9122000000000003</v>
      </c>
      <c r="O56" s="826">
        <v>5.8093000000000004</v>
      </c>
      <c r="P56" s="828">
        <f t="shared" si="3"/>
        <v>-0.10289999999999999</v>
      </c>
      <c r="Q56" s="34"/>
      <c r="R56" s="834">
        <v>41060</v>
      </c>
      <c r="S56" s="835">
        <v>2.98</v>
      </c>
      <c r="T56" s="835">
        <v>3.66</v>
      </c>
      <c r="U56" s="828">
        <f t="shared" si="4"/>
        <v>0.68000000000000016</v>
      </c>
      <c r="V56" s="34"/>
      <c r="W56" s="834">
        <v>43221</v>
      </c>
      <c r="X56" s="846">
        <v>2.3199999999999998</v>
      </c>
      <c r="Y56" s="846">
        <v>2.78</v>
      </c>
      <c r="Z56" s="690">
        <f t="shared" si="5"/>
        <v>0.45999999999999996</v>
      </c>
      <c r="AA56" s="34"/>
      <c r="AB56" s="34"/>
      <c r="AC56" s="34"/>
    </row>
    <row r="57" spans="1:32">
      <c r="A57" s="34"/>
      <c r="B57" s="34"/>
      <c r="C57" s="34"/>
      <c r="D57" s="34"/>
      <c r="E57" s="34"/>
      <c r="F57" s="34"/>
      <c r="G57" s="34"/>
      <c r="H57" s="833">
        <v>36707</v>
      </c>
      <c r="I57" s="826">
        <v>6.9405000000000001</v>
      </c>
      <c r="J57" s="827">
        <v>6.8486000000000002</v>
      </c>
      <c r="K57" s="828">
        <f t="shared" si="2"/>
        <v>-9.1899999999999871E-2</v>
      </c>
      <c r="L57" s="34"/>
      <c r="M57" s="833">
        <v>38898</v>
      </c>
      <c r="N57" s="826">
        <v>5.9686000000000003</v>
      </c>
      <c r="O57" s="827">
        <v>5.8376000000000001</v>
      </c>
      <c r="P57" s="828">
        <f t="shared" si="3"/>
        <v>-0.13100000000000023</v>
      </c>
      <c r="Q57" s="34"/>
      <c r="R57" s="834">
        <v>41090</v>
      </c>
      <c r="S57" s="835">
        <v>2.83</v>
      </c>
      <c r="T57" s="817">
        <v>3.4</v>
      </c>
      <c r="U57" s="828">
        <f t="shared" si="4"/>
        <v>0.56999999999999984</v>
      </c>
      <c r="V57" s="34"/>
      <c r="W57" s="841">
        <v>43281</v>
      </c>
      <c r="X57" s="846">
        <v>2.2799999999999998</v>
      </c>
      <c r="Y57" s="848">
        <v>2.9</v>
      </c>
      <c r="Z57" s="690">
        <f t="shared" si="5"/>
        <v>0.62000000000000011</v>
      </c>
      <c r="AA57" s="34"/>
      <c r="AB57" s="34"/>
      <c r="AC57" s="34"/>
    </row>
    <row r="58" spans="1:32">
      <c r="A58" s="34"/>
      <c r="B58" s="34"/>
      <c r="C58" s="34"/>
      <c r="D58" s="34"/>
      <c r="E58" s="34"/>
      <c r="F58" s="34"/>
      <c r="G58" s="34"/>
      <c r="H58" s="833">
        <v>36738</v>
      </c>
      <c r="I58" s="826">
        <v>6.7438000000000002</v>
      </c>
      <c r="J58" s="826">
        <v>6.7271000000000001</v>
      </c>
      <c r="K58" s="828">
        <f t="shared" si="2"/>
        <v>-1.6700000000000159E-2</v>
      </c>
      <c r="L58" s="34"/>
      <c r="M58" s="833">
        <v>38929</v>
      </c>
      <c r="N58" s="826">
        <v>6.1025999999999998</v>
      </c>
      <c r="O58" s="826">
        <v>5.8807</v>
      </c>
      <c r="P58" s="828">
        <f t="shared" si="3"/>
        <v>-0.22189999999999976</v>
      </c>
      <c r="Q58" s="34"/>
      <c r="R58" s="834">
        <v>41121</v>
      </c>
      <c r="S58" s="835">
        <v>2.86</v>
      </c>
      <c r="T58" s="835">
        <v>3.4</v>
      </c>
      <c r="U58" s="828">
        <f t="shared" si="4"/>
        <v>0.54</v>
      </c>
      <c r="V58" s="34"/>
      <c r="W58" s="841">
        <v>43312</v>
      </c>
      <c r="X58" s="846">
        <v>2.15</v>
      </c>
      <c r="Y58" s="846">
        <v>2.81</v>
      </c>
      <c r="Z58" s="690">
        <f t="shared" si="5"/>
        <v>0.66000000000000014</v>
      </c>
      <c r="AA58" s="34"/>
      <c r="AB58" s="34"/>
      <c r="AC58" s="34"/>
    </row>
    <row r="59" spans="1:32">
      <c r="A59" s="34"/>
      <c r="B59" s="34"/>
      <c r="C59" s="34"/>
      <c r="D59" s="34"/>
      <c r="E59" s="34"/>
      <c r="F59" s="34"/>
      <c r="G59" s="34"/>
      <c r="H59" s="833">
        <v>36769</v>
      </c>
      <c r="I59" s="826">
        <v>6.7039</v>
      </c>
      <c r="J59" s="826">
        <v>6.6773999999999996</v>
      </c>
      <c r="K59" s="828">
        <f t="shared" si="2"/>
        <v>-2.6500000000000412E-2</v>
      </c>
      <c r="L59" s="34"/>
      <c r="M59" s="833">
        <v>38960</v>
      </c>
      <c r="N59" s="826">
        <v>6.1853999999999996</v>
      </c>
      <c r="O59" s="826">
        <v>5.8423999999999996</v>
      </c>
      <c r="P59" s="828">
        <f t="shared" si="3"/>
        <v>-0.34299999999999997</v>
      </c>
      <c r="Q59" s="34"/>
      <c r="R59" s="834">
        <v>41152</v>
      </c>
      <c r="S59" s="835">
        <v>3.04</v>
      </c>
      <c r="T59" s="835">
        <v>3.66</v>
      </c>
      <c r="U59" s="828">
        <f t="shared" si="4"/>
        <v>0.62000000000000011</v>
      </c>
      <c r="V59" s="34"/>
      <c r="W59" s="841">
        <v>43343</v>
      </c>
      <c r="X59" s="846">
        <v>2</v>
      </c>
      <c r="Y59" s="846">
        <v>2.63</v>
      </c>
      <c r="Z59" s="690">
        <f t="shared" si="5"/>
        <v>0.62999999999999989</v>
      </c>
      <c r="AA59" s="34"/>
      <c r="AB59" s="34"/>
      <c r="AC59" s="34"/>
    </row>
    <row r="60" spans="1:32">
      <c r="A60" s="34"/>
      <c r="B60" s="34"/>
      <c r="C60" s="34"/>
      <c r="D60" s="34"/>
      <c r="E60" s="34"/>
      <c r="F60" s="34"/>
      <c r="G60" s="34"/>
      <c r="H60" s="833">
        <v>36799</v>
      </c>
      <c r="I60" s="826">
        <v>6.7533000000000003</v>
      </c>
      <c r="J60" s="826">
        <v>6.7351999999999999</v>
      </c>
      <c r="K60" s="828">
        <f t="shared" si="2"/>
        <v>-1.8100000000000449E-2</v>
      </c>
      <c r="L60" s="34"/>
      <c r="M60" s="833">
        <v>38990</v>
      </c>
      <c r="N60" s="826">
        <v>6.1887999999999996</v>
      </c>
      <c r="O60" s="826">
        <v>5.7960000000000003</v>
      </c>
      <c r="P60" s="828">
        <f t="shared" si="3"/>
        <v>-0.39279999999999937</v>
      </c>
      <c r="Q60" s="34"/>
      <c r="R60" s="834">
        <v>41182</v>
      </c>
      <c r="S60" s="835">
        <v>2.94</v>
      </c>
      <c r="T60" s="835">
        <v>3.57</v>
      </c>
      <c r="U60" s="828">
        <f t="shared" si="4"/>
        <v>0.62999999999999989</v>
      </c>
      <c r="V60" s="34"/>
      <c r="W60" s="841">
        <v>43373</v>
      </c>
      <c r="X60" s="846">
        <v>1.93</v>
      </c>
      <c r="Y60" s="846">
        <v>2.6</v>
      </c>
      <c r="Z60" s="690">
        <f t="shared" si="5"/>
        <v>0.67000000000000015</v>
      </c>
      <c r="AA60" s="34"/>
      <c r="AB60" s="34"/>
      <c r="AC60" s="34"/>
    </row>
    <row r="61" spans="1:32">
      <c r="A61" s="34"/>
      <c r="B61" s="34"/>
      <c r="C61" s="34"/>
      <c r="D61" s="34"/>
      <c r="E61" s="34"/>
      <c r="F61" s="34"/>
      <c r="G61" s="34"/>
      <c r="H61" s="833">
        <v>36830</v>
      </c>
      <c r="I61" s="826">
        <v>6.6909999999999998</v>
      </c>
      <c r="J61" s="826">
        <v>6.7009999999999996</v>
      </c>
      <c r="K61" s="828">
        <f t="shared" si="2"/>
        <v>9.9999999999997868E-3</v>
      </c>
      <c r="L61" s="34"/>
      <c r="M61" s="833">
        <v>39021</v>
      </c>
      <c r="N61" s="826">
        <v>6.2419000000000002</v>
      </c>
      <c r="O61" s="826">
        <v>5.8388</v>
      </c>
      <c r="P61" s="828">
        <f t="shared" si="3"/>
        <v>-0.40310000000000024</v>
      </c>
      <c r="Q61" s="34"/>
      <c r="R61" s="834">
        <v>41213</v>
      </c>
      <c r="S61" s="835">
        <v>2.85</v>
      </c>
      <c r="T61" s="835">
        <v>3.51</v>
      </c>
      <c r="U61" s="828">
        <f t="shared" si="4"/>
        <v>0.6599999999999997</v>
      </c>
      <c r="V61" s="34"/>
      <c r="W61" s="841">
        <v>43404</v>
      </c>
      <c r="X61" s="846">
        <v>1.98</v>
      </c>
      <c r="Y61" s="846">
        <v>2.62</v>
      </c>
      <c r="Z61" s="690">
        <f t="shared" si="5"/>
        <v>0.64000000000000012</v>
      </c>
      <c r="AA61" s="34"/>
      <c r="AB61" s="34"/>
      <c r="AC61" s="34"/>
    </row>
    <row r="62" spans="1:32">
      <c r="A62" s="34"/>
      <c r="B62" s="34"/>
      <c r="C62" s="34"/>
      <c r="D62" s="34"/>
      <c r="E62" s="34"/>
      <c r="F62" s="34"/>
      <c r="G62" s="34"/>
      <c r="H62" s="833">
        <v>36860</v>
      </c>
      <c r="I62" s="826">
        <v>6.5713999999999997</v>
      </c>
      <c r="J62" s="826">
        <v>6.5936000000000003</v>
      </c>
      <c r="K62" s="828">
        <f t="shared" si="2"/>
        <v>2.2200000000000664E-2</v>
      </c>
      <c r="L62" s="34"/>
      <c r="M62" s="833">
        <v>39051</v>
      </c>
      <c r="N62" s="826">
        <v>6.1593</v>
      </c>
      <c r="O62" s="826">
        <v>5.7131999999999996</v>
      </c>
      <c r="P62" s="828">
        <f t="shared" si="3"/>
        <v>-0.44610000000000039</v>
      </c>
      <c r="Q62" s="34"/>
      <c r="R62" s="834">
        <v>41243</v>
      </c>
      <c r="S62" s="835">
        <v>2.83</v>
      </c>
      <c r="T62" s="835">
        <v>3.47</v>
      </c>
      <c r="U62" s="828">
        <f t="shared" si="4"/>
        <v>0.64000000000000012</v>
      </c>
      <c r="V62" s="34"/>
      <c r="W62" s="841">
        <v>43434</v>
      </c>
      <c r="X62" s="846">
        <v>2.11</v>
      </c>
      <c r="Y62" s="846">
        <v>2.69</v>
      </c>
      <c r="Z62" s="690">
        <f t="shared" si="5"/>
        <v>0.58000000000000007</v>
      </c>
      <c r="AA62" s="34"/>
      <c r="AB62" s="34"/>
      <c r="AC62" s="34"/>
    </row>
    <row r="63" spans="1:32">
      <c r="A63" s="34"/>
      <c r="B63" s="34"/>
      <c r="C63" s="34"/>
      <c r="D63" s="34"/>
      <c r="E63" s="34"/>
      <c r="F63" s="34"/>
      <c r="G63" s="34"/>
      <c r="H63" s="833">
        <v>36891</v>
      </c>
      <c r="I63" s="826">
        <v>6.1753</v>
      </c>
      <c r="J63" s="836">
        <v>6.1494999999999997</v>
      </c>
      <c r="K63" s="828">
        <f t="shared" si="2"/>
        <v>-2.5800000000000267E-2</v>
      </c>
      <c r="L63" s="34"/>
      <c r="M63" s="833">
        <v>39082</v>
      </c>
      <c r="N63" s="826">
        <v>6.2157999999999998</v>
      </c>
      <c r="O63" s="836">
        <v>5.7671000000000001</v>
      </c>
      <c r="P63" s="828">
        <f t="shared" si="3"/>
        <v>-0.44869999999999965</v>
      </c>
      <c r="Q63" s="34"/>
      <c r="R63" s="834">
        <v>41274</v>
      </c>
      <c r="S63" s="835">
        <v>2.91</v>
      </c>
      <c r="T63" s="837">
        <v>3.56</v>
      </c>
      <c r="U63" s="828">
        <f t="shared" si="4"/>
        <v>0.64999999999999991</v>
      </c>
      <c r="V63" s="34"/>
      <c r="W63" s="841">
        <v>43465</v>
      </c>
      <c r="X63" s="846">
        <v>1.92</v>
      </c>
      <c r="Y63" s="850">
        <v>2.4500000000000002</v>
      </c>
      <c r="Z63" s="690">
        <f t="shared" si="5"/>
        <v>0.53000000000000025</v>
      </c>
      <c r="AA63" s="34"/>
      <c r="AB63" s="34"/>
      <c r="AC63" s="34"/>
    </row>
    <row r="64" spans="1:32">
      <c r="A64" s="34"/>
      <c r="B64" s="34"/>
      <c r="C64" s="34"/>
      <c r="D64" s="34"/>
      <c r="E64" s="34"/>
      <c r="F64" s="34"/>
      <c r="G64" s="34"/>
      <c r="H64" s="833">
        <v>36922</v>
      </c>
      <c r="I64" s="826">
        <v>5.9856999999999996</v>
      </c>
      <c r="J64" s="838">
        <v>6.0586000000000002</v>
      </c>
      <c r="K64" s="828">
        <f t="shared" si="2"/>
        <v>7.2900000000000631E-2</v>
      </c>
      <c r="L64" s="34"/>
      <c r="M64" s="833">
        <v>39113</v>
      </c>
      <c r="N64" s="826">
        <v>6.3018999999999998</v>
      </c>
      <c r="O64" s="838">
        <v>5.9302000000000001</v>
      </c>
      <c r="P64" s="828">
        <f t="shared" si="3"/>
        <v>-0.3716999999999997</v>
      </c>
      <c r="Q64" s="34"/>
      <c r="R64" s="834">
        <v>41305</v>
      </c>
      <c r="S64" s="835">
        <v>2.9</v>
      </c>
      <c r="T64" s="839">
        <v>3.55</v>
      </c>
      <c r="U64" s="828">
        <f t="shared" si="4"/>
        <v>0.64999999999999991</v>
      </c>
      <c r="V64" s="34"/>
      <c r="W64" s="834">
        <v>43496</v>
      </c>
      <c r="X64" s="846">
        <v>1.8</v>
      </c>
      <c r="Y64" s="1050">
        <v>2.33</v>
      </c>
      <c r="Z64" s="690">
        <f t="shared" si="5"/>
        <v>0.53</v>
      </c>
      <c r="AA64" s="34"/>
      <c r="AB64" s="34"/>
      <c r="AC64" s="34"/>
    </row>
    <row r="65" spans="1:29">
      <c r="A65" s="34"/>
      <c r="B65" s="34"/>
      <c r="C65" s="34"/>
      <c r="D65" s="34"/>
      <c r="E65" s="34"/>
      <c r="F65" s="34"/>
      <c r="G65" s="34"/>
      <c r="H65" s="833">
        <v>36950</v>
      </c>
      <c r="I65" s="826">
        <v>5.8989000000000003</v>
      </c>
      <c r="J65" s="826">
        <v>6.0426000000000002</v>
      </c>
      <c r="K65" s="828">
        <f t="shared" si="2"/>
        <v>0.14369999999999994</v>
      </c>
      <c r="L65" s="34"/>
      <c r="M65" s="833">
        <v>39141</v>
      </c>
      <c r="N65" s="826">
        <v>6.3723999999999998</v>
      </c>
      <c r="O65" s="826">
        <v>5.9405000000000001</v>
      </c>
      <c r="P65" s="828">
        <f t="shared" si="3"/>
        <v>-0.43189999999999973</v>
      </c>
      <c r="Q65" s="34"/>
      <c r="R65" s="834">
        <v>41333</v>
      </c>
      <c r="S65" s="835">
        <v>3.13</v>
      </c>
      <c r="T65" s="835">
        <v>3.81</v>
      </c>
      <c r="U65" s="828">
        <f t="shared" si="4"/>
        <v>0.68000000000000016</v>
      </c>
      <c r="V65" s="34"/>
      <c r="W65" s="834">
        <v>43524</v>
      </c>
      <c r="X65" s="846">
        <v>1.7</v>
      </c>
      <c r="Y65" s="846">
        <v>2.1800000000000002</v>
      </c>
      <c r="Z65" s="690">
        <f t="shared" si="5"/>
        <v>0.4800000000000002</v>
      </c>
      <c r="AA65" s="34"/>
      <c r="AB65" s="34"/>
      <c r="AC65" s="34"/>
    </row>
    <row r="66" spans="1:29">
      <c r="A66" s="34"/>
      <c r="B66" s="34"/>
      <c r="C66" s="34"/>
      <c r="D66" s="34"/>
      <c r="E66" s="34"/>
      <c r="F66" s="34"/>
      <c r="G66" s="34"/>
      <c r="H66" s="833">
        <v>36981</v>
      </c>
      <c r="I66" s="826">
        <v>5.7408999999999999</v>
      </c>
      <c r="J66" s="840">
        <v>5.95</v>
      </c>
      <c r="K66" s="828">
        <f t="shared" si="2"/>
        <v>0.20910000000000029</v>
      </c>
      <c r="L66" s="34"/>
      <c r="M66" s="833">
        <v>39172</v>
      </c>
      <c r="N66" s="826">
        <v>6.5045000000000002</v>
      </c>
      <c r="O66" s="840">
        <v>5.8685999999999998</v>
      </c>
      <c r="P66" s="828">
        <f t="shared" si="3"/>
        <v>-0.63590000000000035</v>
      </c>
      <c r="Q66" s="34"/>
      <c r="R66" s="834">
        <v>41364</v>
      </c>
      <c r="S66" s="835">
        <v>3.05</v>
      </c>
      <c r="T66" s="815">
        <v>3.72</v>
      </c>
      <c r="U66" s="828">
        <f t="shared" si="4"/>
        <v>0.67000000000000037</v>
      </c>
      <c r="V66" s="34"/>
      <c r="W66" s="834">
        <v>43525</v>
      </c>
      <c r="X66" s="846">
        <v>1.59</v>
      </c>
      <c r="Y66" s="847">
        <v>2.02</v>
      </c>
      <c r="Z66" s="690">
        <f t="shared" si="5"/>
        <v>0.42999999999999994</v>
      </c>
      <c r="AA66" s="34"/>
      <c r="AB66" s="34"/>
      <c r="AC66" s="34"/>
    </row>
    <row r="67" spans="1:29">
      <c r="A67" s="34"/>
      <c r="B67" s="34"/>
      <c r="C67" s="34"/>
      <c r="D67" s="34"/>
      <c r="E67" s="34"/>
      <c r="F67" s="34"/>
      <c r="G67" s="34"/>
      <c r="H67" s="833">
        <v>37011</v>
      </c>
      <c r="I67" s="826">
        <v>5.9744000000000002</v>
      </c>
      <c r="J67" s="826">
        <v>6.2549999999999999</v>
      </c>
      <c r="K67" s="828">
        <f t="shared" si="2"/>
        <v>0.28059999999999974</v>
      </c>
      <c r="L67" s="34"/>
      <c r="M67" s="833">
        <v>39202</v>
      </c>
      <c r="N67" s="826">
        <v>6.7146999999999997</v>
      </c>
      <c r="O67" s="826">
        <v>6.0583</v>
      </c>
      <c r="P67" s="828">
        <f t="shared" si="3"/>
        <v>-0.65639999999999965</v>
      </c>
      <c r="Q67" s="34"/>
      <c r="R67" s="834">
        <v>41394</v>
      </c>
      <c r="S67" s="835">
        <v>2.75</v>
      </c>
      <c r="T67" s="835">
        <v>3.33</v>
      </c>
      <c r="U67" s="828">
        <f t="shared" si="4"/>
        <v>0.58000000000000007</v>
      </c>
      <c r="V67" s="34"/>
      <c r="W67" s="834">
        <v>43585</v>
      </c>
      <c r="X67" s="846">
        <v>1.5</v>
      </c>
      <c r="Y67" s="34">
        <v>1.96</v>
      </c>
      <c r="Z67" s="690">
        <f t="shared" si="5"/>
        <v>0.45999999999999996</v>
      </c>
      <c r="AA67" s="34"/>
      <c r="AB67" s="34"/>
      <c r="AC67" s="34"/>
    </row>
    <row r="68" spans="1:29">
      <c r="A68" s="34"/>
      <c r="B68" s="34"/>
      <c r="C68" s="34"/>
      <c r="D68" s="34"/>
      <c r="E68" s="34"/>
      <c r="F68" s="34"/>
      <c r="G68" s="34"/>
      <c r="H68" s="833">
        <v>37042</v>
      </c>
      <c r="I68" s="826">
        <v>6.3296000000000001</v>
      </c>
      <c r="J68" s="826">
        <v>6.6165000000000003</v>
      </c>
      <c r="K68" s="828">
        <f t="shared" si="2"/>
        <v>0.28690000000000015</v>
      </c>
      <c r="L68" s="34"/>
      <c r="M68" s="833">
        <v>39233</v>
      </c>
      <c r="N68" s="826">
        <v>6.8023999999999996</v>
      </c>
      <c r="O68" s="826">
        <v>6.165</v>
      </c>
      <c r="P68" s="828">
        <f t="shared" si="3"/>
        <v>-0.63739999999999952</v>
      </c>
      <c r="Q68" s="34"/>
      <c r="R68" s="852">
        <v>41425</v>
      </c>
      <c r="S68" s="853">
        <v>2.8</v>
      </c>
      <c r="T68" s="853">
        <v>3.37</v>
      </c>
      <c r="U68" s="828">
        <f t="shared" si="4"/>
        <v>0.57000000000000028</v>
      </c>
      <c r="V68" s="34"/>
      <c r="W68" s="834">
        <v>43586</v>
      </c>
      <c r="X68" s="846">
        <v>1.58</v>
      </c>
      <c r="Y68" s="34">
        <v>1.79</v>
      </c>
      <c r="Z68" s="690">
        <f t="shared" si="5"/>
        <v>0.20999999999999996</v>
      </c>
      <c r="AA68" s="34"/>
      <c r="AB68" s="34"/>
      <c r="AC68" s="34"/>
    </row>
    <row r="69" spans="1:29">
      <c r="A69" s="34"/>
      <c r="B69" s="34"/>
      <c r="C69" s="34"/>
      <c r="D69" s="34"/>
      <c r="E69" s="34"/>
      <c r="F69" s="34"/>
      <c r="G69" s="34"/>
      <c r="H69" s="833">
        <v>37072</v>
      </c>
      <c r="I69" s="826">
        <v>6.4480000000000004</v>
      </c>
      <c r="J69" s="827">
        <v>6.6319999999999997</v>
      </c>
      <c r="K69" s="828">
        <f t="shared" si="2"/>
        <v>0.18399999999999928</v>
      </c>
      <c r="L69" s="34"/>
      <c r="M69" s="833">
        <v>39263</v>
      </c>
      <c r="N69" s="826">
        <v>7.1342999999999996</v>
      </c>
      <c r="O69" s="827">
        <v>6.7169999999999996</v>
      </c>
      <c r="P69" s="828">
        <f t="shared" si="3"/>
        <v>-0.4173</v>
      </c>
      <c r="Q69" s="34"/>
      <c r="R69" s="834">
        <v>41455</v>
      </c>
      <c r="S69" s="835">
        <v>3.16</v>
      </c>
      <c r="T69" s="817">
        <v>3.83</v>
      </c>
      <c r="U69" s="809">
        <f t="shared" si="4"/>
        <v>0.66999999999999993</v>
      </c>
      <c r="V69" s="34"/>
      <c r="W69" s="841">
        <v>43646</v>
      </c>
      <c r="X69" s="846">
        <v>1.3</v>
      </c>
      <c r="Y69" s="455">
        <v>1.63</v>
      </c>
      <c r="Z69" s="690">
        <f t="shared" si="5"/>
        <v>0.32999999999999985</v>
      </c>
      <c r="AA69" s="34"/>
      <c r="AB69" s="34"/>
      <c r="AC69" s="34"/>
    </row>
    <row r="70" spans="1:29">
      <c r="A70" s="34"/>
      <c r="B70" s="34"/>
      <c r="C70" s="34"/>
      <c r="D70" s="34"/>
      <c r="E70" s="34"/>
      <c r="F70" s="34"/>
      <c r="G70" s="34"/>
      <c r="H70" s="833">
        <v>37103</v>
      </c>
      <c r="I70" s="826">
        <v>6.5945</v>
      </c>
      <c r="J70" s="826">
        <v>6.7431999999999999</v>
      </c>
      <c r="K70" s="828">
        <f t="shared" si="2"/>
        <v>0.14869999999999983</v>
      </c>
      <c r="L70" s="34"/>
      <c r="M70" s="833">
        <v>39294</v>
      </c>
      <c r="N70" s="826">
        <v>7.2773000000000003</v>
      </c>
      <c r="O70" s="826">
        <v>6.7725</v>
      </c>
      <c r="P70" s="828">
        <f t="shared" si="3"/>
        <v>-0.50480000000000036</v>
      </c>
      <c r="Q70" s="34"/>
      <c r="R70" s="834">
        <v>41486</v>
      </c>
      <c r="S70" s="835">
        <v>3.49</v>
      </c>
      <c r="T70" s="835">
        <v>4.2300000000000004</v>
      </c>
      <c r="U70" s="809">
        <f t="shared" si="4"/>
        <v>0.74000000000000021</v>
      </c>
      <c r="V70" s="34"/>
      <c r="W70" s="849">
        <v>43677</v>
      </c>
      <c r="X70" s="846">
        <v>1.23</v>
      </c>
      <c r="Y70" s="846">
        <v>1.55</v>
      </c>
      <c r="Z70" s="690">
        <f t="shared" si="5"/>
        <v>0.32000000000000006</v>
      </c>
      <c r="AA70" s="34"/>
      <c r="AB70" s="34"/>
      <c r="AC70" s="34"/>
    </row>
    <row r="71" spans="1:29">
      <c r="A71" s="34"/>
      <c r="B71" s="34"/>
      <c r="C71" s="34"/>
      <c r="D71" s="34"/>
      <c r="E71" s="34"/>
      <c r="F71" s="34"/>
      <c r="G71" s="34"/>
      <c r="H71" s="833">
        <v>37134</v>
      </c>
      <c r="I71" s="826">
        <v>6.4169999999999998</v>
      </c>
      <c r="J71" s="826">
        <v>6.5773999999999999</v>
      </c>
      <c r="K71" s="828">
        <f t="shared" si="2"/>
        <v>0.1604000000000001</v>
      </c>
      <c r="L71" s="34"/>
      <c r="M71" s="854">
        <v>39325</v>
      </c>
      <c r="N71" s="826">
        <v>7.0145999999999997</v>
      </c>
      <c r="O71" s="826">
        <v>6.3979999999999997</v>
      </c>
      <c r="P71" s="828">
        <f t="shared" si="3"/>
        <v>-0.61660000000000004</v>
      </c>
      <c r="Q71" s="34"/>
      <c r="R71" s="834">
        <v>41517</v>
      </c>
      <c r="S71" s="835">
        <v>4</v>
      </c>
      <c r="T71" s="835">
        <v>4.47</v>
      </c>
      <c r="U71" s="809">
        <f t="shared" si="4"/>
        <v>0.46999999999999975</v>
      </c>
      <c r="V71" s="34"/>
      <c r="W71" s="849">
        <v>43708</v>
      </c>
      <c r="X71" s="846">
        <v>0.88</v>
      </c>
      <c r="Y71" s="846">
        <v>1.1299999999999999</v>
      </c>
      <c r="Z71" s="690">
        <f t="shared" si="5"/>
        <v>0.24999999999999989</v>
      </c>
      <c r="AA71" s="34"/>
      <c r="AB71" s="34"/>
      <c r="AC71" s="34"/>
    </row>
    <row r="72" spans="1:29">
      <c r="A72" s="34"/>
      <c r="B72" s="34"/>
      <c r="C72" s="34"/>
      <c r="D72" s="34"/>
      <c r="E72" s="34"/>
      <c r="F72" s="34"/>
      <c r="G72" s="34"/>
      <c r="H72" s="833">
        <v>37164</v>
      </c>
      <c r="I72" s="826">
        <v>6.2095000000000002</v>
      </c>
      <c r="J72" s="826">
        <v>6.524</v>
      </c>
      <c r="K72" s="828">
        <f t="shared" si="2"/>
        <v>0.31449999999999978</v>
      </c>
      <c r="L72" s="34"/>
      <c r="M72" s="854">
        <v>39355</v>
      </c>
      <c r="N72" s="826">
        <v>6.5503</v>
      </c>
      <c r="O72" s="826">
        <v>6.1595000000000004</v>
      </c>
      <c r="P72" s="828">
        <f t="shared" si="3"/>
        <v>-0.39079999999999959</v>
      </c>
      <c r="Q72" s="34"/>
      <c r="R72" s="834">
        <v>41547</v>
      </c>
      <c r="S72" s="835">
        <v>4.22</v>
      </c>
      <c r="T72" s="835">
        <v>4.7</v>
      </c>
      <c r="U72" s="809">
        <f t="shared" si="4"/>
        <v>0.48000000000000043</v>
      </c>
      <c r="V72" s="34"/>
      <c r="W72" s="849">
        <v>43738</v>
      </c>
      <c r="X72" s="846">
        <v>0.91</v>
      </c>
      <c r="Y72" s="846">
        <v>1.1599999999999999</v>
      </c>
      <c r="Z72" s="690">
        <f t="shared" si="5"/>
        <v>0.24999999999999989</v>
      </c>
      <c r="AA72" s="34"/>
      <c r="AB72" s="34"/>
      <c r="AC72" s="34"/>
    </row>
    <row r="73" spans="1:29">
      <c r="A73" s="34"/>
      <c r="B73" s="34"/>
      <c r="C73" s="34"/>
      <c r="D73" s="34"/>
      <c r="E73" s="34"/>
      <c r="F73" s="34"/>
      <c r="G73" s="34"/>
      <c r="H73" s="833">
        <v>37195</v>
      </c>
      <c r="I73" s="826">
        <v>5.8868</v>
      </c>
      <c r="J73" s="826">
        <v>6.4040999999999997</v>
      </c>
      <c r="K73" s="828">
        <f t="shared" si="2"/>
        <v>0.51729999999999965</v>
      </c>
      <c r="L73" s="34"/>
      <c r="M73" s="854">
        <v>39386</v>
      </c>
      <c r="N73" s="826">
        <v>6.8133999999999997</v>
      </c>
      <c r="O73" s="826">
        <v>6.3681999999999999</v>
      </c>
      <c r="P73" s="828">
        <f t="shared" si="3"/>
        <v>-0.44519999999999982</v>
      </c>
      <c r="Q73" s="34"/>
      <c r="R73" s="834">
        <v>41578</v>
      </c>
      <c r="S73" s="835">
        <v>4.22</v>
      </c>
      <c r="T73" s="835">
        <v>4.6500000000000004</v>
      </c>
      <c r="U73" s="809">
        <f t="shared" si="4"/>
        <v>0.4300000000000006</v>
      </c>
      <c r="V73" s="34"/>
      <c r="W73" s="849">
        <v>43769</v>
      </c>
      <c r="X73" s="846">
        <v>0.89</v>
      </c>
      <c r="Y73" s="846">
        <v>1.1599999999999999</v>
      </c>
      <c r="Z73" s="690">
        <f t="shared" si="5"/>
        <v>0.26999999999999991</v>
      </c>
      <c r="AA73" s="34"/>
      <c r="AB73" s="34"/>
      <c r="AC73" s="34"/>
    </row>
    <row r="74" spans="1:29">
      <c r="A74" s="34"/>
      <c r="B74" s="34"/>
      <c r="C74" s="34"/>
      <c r="D74" s="34"/>
      <c r="E74" s="34"/>
      <c r="F74" s="34"/>
      <c r="G74" s="34"/>
      <c r="H74" s="833">
        <v>37225</v>
      </c>
      <c r="I74" s="826">
        <v>5.7895000000000003</v>
      </c>
      <c r="J74" s="826">
        <v>6.2949999999999999</v>
      </c>
      <c r="K74" s="828">
        <f t="shared" si="2"/>
        <v>0.50549999999999962</v>
      </c>
      <c r="L74" s="34"/>
      <c r="M74" s="854">
        <v>39416</v>
      </c>
      <c r="N74" s="826">
        <v>7.0418000000000003</v>
      </c>
      <c r="O74" s="826">
        <v>6.3895</v>
      </c>
      <c r="P74" s="828">
        <f t="shared" si="3"/>
        <v>-0.65230000000000032</v>
      </c>
      <c r="Q74" s="34"/>
      <c r="R74" s="834">
        <v>41608</v>
      </c>
      <c r="S74" s="835">
        <v>4.21</v>
      </c>
      <c r="T74" s="835">
        <v>4.7</v>
      </c>
      <c r="U74" s="809">
        <f t="shared" si="4"/>
        <v>0.49000000000000021</v>
      </c>
      <c r="V74" s="34"/>
      <c r="W74" s="849">
        <v>43799</v>
      </c>
      <c r="X74" s="846">
        <v>1.0900000000000001</v>
      </c>
      <c r="Y74" s="846">
        <v>1.35</v>
      </c>
      <c r="Z74" s="690">
        <f t="shared" si="5"/>
        <v>0.26</v>
      </c>
      <c r="AA74" s="34"/>
      <c r="AB74" s="34"/>
      <c r="AC74" s="34"/>
    </row>
    <row r="75" spans="1:29">
      <c r="A75" s="34"/>
      <c r="B75" s="34"/>
      <c r="C75" s="34"/>
      <c r="D75" s="34"/>
      <c r="E75" s="34"/>
      <c r="F75" s="34"/>
      <c r="G75" s="34"/>
      <c r="H75" s="833">
        <v>37256</v>
      </c>
      <c r="I75" s="826">
        <v>6.1874000000000002</v>
      </c>
      <c r="J75" s="836">
        <v>6.6215999999999999</v>
      </c>
      <c r="K75" s="828">
        <f t="shared" si="2"/>
        <v>0.4341999999999997</v>
      </c>
      <c r="L75" s="34"/>
      <c r="M75" s="854">
        <v>39447</v>
      </c>
      <c r="N75" s="826">
        <v>7.1634000000000002</v>
      </c>
      <c r="O75" s="836">
        <v>6.3949999999999996</v>
      </c>
      <c r="P75" s="828">
        <f t="shared" si="3"/>
        <v>-0.76840000000000064</v>
      </c>
      <c r="Q75" s="34"/>
      <c r="R75" s="834">
        <v>41639</v>
      </c>
      <c r="S75" s="835">
        <v>4.2699999999999996</v>
      </c>
      <c r="T75" s="837">
        <v>4.76</v>
      </c>
      <c r="U75" s="809">
        <f t="shared" si="4"/>
        <v>0.49000000000000021</v>
      </c>
      <c r="V75" s="34"/>
      <c r="W75" s="849">
        <v>43800</v>
      </c>
      <c r="X75" s="846">
        <v>1.27</v>
      </c>
      <c r="Y75" s="850">
        <v>1.53</v>
      </c>
      <c r="Z75" s="690">
        <f t="shared" si="5"/>
        <v>0.26</v>
      </c>
      <c r="AA75" s="34"/>
      <c r="AB75" s="846"/>
      <c r="AC75" s="846"/>
    </row>
    <row r="76" spans="1:29">
      <c r="A76" s="34"/>
      <c r="B76" s="34"/>
      <c r="C76" s="34"/>
      <c r="D76" s="34"/>
      <c r="E76" s="34"/>
      <c r="F76" s="34"/>
      <c r="G76" s="34"/>
      <c r="H76" s="833">
        <v>37287</v>
      </c>
      <c r="I76" s="826">
        <v>6.2466999999999997</v>
      </c>
      <c r="J76" s="838">
        <v>6.5810000000000004</v>
      </c>
      <c r="K76" s="828">
        <f t="shared" si="2"/>
        <v>0.33430000000000071</v>
      </c>
      <c r="L76" s="34"/>
      <c r="M76" s="854">
        <v>39478</v>
      </c>
      <c r="N76" s="826">
        <v>7.0061999999999998</v>
      </c>
      <c r="O76" s="838">
        <v>6.2826000000000004</v>
      </c>
      <c r="P76" s="828">
        <f t="shared" si="3"/>
        <v>-0.72359999999999935</v>
      </c>
      <c r="Q76" s="34"/>
      <c r="R76" s="834">
        <v>41670</v>
      </c>
      <c r="S76" s="835">
        <v>4.16</v>
      </c>
      <c r="T76" s="839">
        <v>4.6399999999999997</v>
      </c>
      <c r="U76" s="809">
        <f t="shared" si="4"/>
        <v>0.47999999999999954</v>
      </c>
      <c r="V76" s="34"/>
      <c r="W76" s="834">
        <v>43861</v>
      </c>
      <c r="X76" s="846">
        <v>1.21</v>
      </c>
      <c r="Y76" s="851">
        <v>1.48</v>
      </c>
      <c r="Z76" s="690">
        <f t="shared" si="5"/>
        <v>0.27</v>
      </c>
      <c r="AA76" s="34"/>
      <c r="AB76" s="34"/>
      <c r="AC76" s="34"/>
    </row>
    <row r="77" spans="1:29">
      <c r="A77" s="34"/>
      <c r="B77" s="34"/>
      <c r="C77" s="34"/>
      <c r="D77" s="34"/>
      <c r="E77" s="34"/>
      <c r="F77" s="34"/>
      <c r="G77" s="34"/>
      <c r="H77" s="833">
        <v>37315</v>
      </c>
      <c r="I77" s="826">
        <v>6.3532000000000002</v>
      </c>
      <c r="J77" s="826">
        <v>6.61</v>
      </c>
      <c r="K77" s="828">
        <f t="shared" si="2"/>
        <v>0.25680000000000014</v>
      </c>
      <c r="L77" s="34"/>
      <c r="M77" s="854">
        <v>39507</v>
      </c>
      <c r="N77" s="826">
        <v>6.9264999999999999</v>
      </c>
      <c r="O77" s="826">
        <v>6.4023000000000003</v>
      </c>
      <c r="P77" s="828">
        <f t="shared" si="3"/>
        <v>-0.52419999999999956</v>
      </c>
      <c r="Q77" s="34"/>
      <c r="R77" s="834">
        <v>41698</v>
      </c>
      <c r="S77" s="835">
        <v>4.0599999999999996</v>
      </c>
      <c r="T77" s="835">
        <v>4.57</v>
      </c>
      <c r="U77" s="809">
        <f t="shared" si="4"/>
        <v>0.51000000000000068</v>
      </c>
      <c r="V77" s="34"/>
      <c r="W77" s="834">
        <v>43889</v>
      </c>
      <c r="X77" s="846">
        <v>1.07</v>
      </c>
      <c r="Y77" s="846">
        <v>1.28</v>
      </c>
      <c r="Z77" s="690">
        <f t="shared" si="5"/>
        <v>0.20999999999999996</v>
      </c>
      <c r="AA77" s="846"/>
      <c r="AB77" s="846"/>
      <c r="AC77" s="34"/>
    </row>
    <row r="78" spans="1:29">
      <c r="A78" s="34"/>
      <c r="B78" s="34"/>
      <c r="C78" s="34"/>
      <c r="D78" s="34"/>
      <c r="E78" s="34"/>
      <c r="F78" s="34"/>
      <c r="G78" s="34"/>
      <c r="H78" s="833">
        <v>37346</v>
      </c>
      <c r="I78" s="826">
        <v>6.6704999999999997</v>
      </c>
      <c r="J78" s="840">
        <v>6.8840000000000003</v>
      </c>
      <c r="K78" s="828">
        <f t="shared" si="2"/>
        <v>0.21350000000000069</v>
      </c>
      <c r="L78" s="34"/>
      <c r="M78" s="854">
        <v>39538</v>
      </c>
      <c r="N78" s="826">
        <v>6.6783999999999999</v>
      </c>
      <c r="O78" s="840">
        <v>6.3628999999999998</v>
      </c>
      <c r="P78" s="828">
        <f t="shared" si="3"/>
        <v>-0.31550000000000011</v>
      </c>
      <c r="Q78" s="34"/>
      <c r="R78" s="834">
        <v>41729</v>
      </c>
      <c r="S78" s="835">
        <v>4.1100000000000003</v>
      </c>
      <c r="T78" s="815">
        <v>4.58</v>
      </c>
      <c r="U78" s="809">
        <f t="shared" si="4"/>
        <v>0.46999999999999975</v>
      </c>
      <c r="V78" s="34"/>
      <c r="W78" s="834">
        <v>43891</v>
      </c>
      <c r="X78" s="846">
        <v>0.77</v>
      </c>
      <c r="Y78" s="847">
        <v>1.08</v>
      </c>
      <c r="Z78" s="690">
        <f t="shared" si="5"/>
        <v>0.31000000000000005</v>
      </c>
      <c r="AA78" s="34"/>
      <c r="AB78" s="34"/>
      <c r="AC78" s="34"/>
    </row>
    <row r="79" spans="1:29">
      <c r="A79" s="34"/>
      <c r="B79" s="34"/>
      <c r="C79" s="34"/>
      <c r="D79" s="34"/>
      <c r="E79" s="34"/>
      <c r="F79" s="34"/>
      <c r="G79" s="34"/>
      <c r="H79" s="833">
        <v>37376</v>
      </c>
      <c r="I79" s="826">
        <v>6.7130000000000001</v>
      </c>
      <c r="J79" s="826">
        <v>6.8674999999999997</v>
      </c>
      <c r="K79" s="828">
        <f t="shared" si="2"/>
        <v>0.15449999999999964</v>
      </c>
      <c r="L79" s="34"/>
      <c r="M79" s="854">
        <v>39568</v>
      </c>
      <c r="N79" s="826">
        <v>6.569</v>
      </c>
      <c r="O79" s="826">
        <v>6.4755000000000003</v>
      </c>
      <c r="P79" s="828">
        <f t="shared" si="3"/>
        <v>-9.3499999999999694E-2</v>
      </c>
      <c r="Q79" s="34"/>
      <c r="R79" s="834">
        <v>41759</v>
      </c>
      <c r="S79" s="835">
        <v>4.2300000000000004</v>
      </c>
      <c r="T79" s="835">
        <v>4.55</v>
      </c>
      <c r="U79" s="809">
        <f t="shared" si="4"/>
        <v>0.3199999999999994</v>
      </c>
      <c r="V79" s="34"/>
      <c r="W79" s="834">
        <v>43951</v>
      </c>
      <c r="X79" s="846">
        <v>0.53</v>
      </c>
      <c r="Y79" s="846">
        <v>0.95</v>
      </c>
      <c r="Z79" s="690">
        <f t="shared" si="5"/>
        <v>0.41999999999999993</v>
      </c>
      <c r="AA79" s="34"/>
      <c r="AB79" s="34"/>
      <c r="AC79" s="34"/>
    </row>
    <row r="80" spans="1:29">
      <c r="A80" s="34"/>
      <c r="B80" s="34"/>
      <c r="C80" s="34"/>
      <c r="D80" s="34"/>
      <c r="E80" s="34"/>
      <c r="F80" s="34"/>
      <c r="G80" s="34"/>
      <c r="H80" s="833">
        <v>37407</v>
      </c>
      <c r="I80" s="826">
        <v>6.6635</v>
      </c>
      <c r="J80" s="826">
        <v>6.8078000000000003</v>
      </c>
      <c r="K80" s="828">
        <f t="shared" si="2"/>
        <v>0.14430000000000032</v>
      </c>
      <c r="L80" s="34"/>
      <c r="M80" s="854">
        <v>39599</v>
      </c>
      <c r="N80" s="826">
        <v>6.5263999999999998</v>
      </c>
      <c r="O80" s="826">
        <v>6.4292999999999996</v>
      </c>
      <c r="P80" s="828">
        <f t="shared" si="3"/>
        <v>-9.7100000000000186E-2</v>
      </c>
      <c r="Q80" s="34"/>
      <c r="R80" s="834">
        <v>41790</v>
      </c>
      <c r="S80" s="835">
        <v>4</v>
      </c>
      <c r="T80" s="835">
        <v>4.29</v>
      </c>
      <c r="U80" s="809">
        <f t="shared" si="4"/>
        <v>0.29000000000000004</v>
      </c>
      <c r="V80" s="34"/>
      <c r="W80" s="834">
        <v>43952</v>
      </c>
      <c r="X80" s="846">
        <v>0.24</v>
      </c>
      <c r="Y80" s="846">
        <v>0.64</v>
      </c>
      <c r="Z80" s="690">
        <f t="shared" si="5"/>
        <v>0.4</v>
      </c>
      <c r="AA80" s="34"/>
      <c r="AB80" s="34"/>
      <c r="AC80" s="34"/>
    </row>
    <row r="81" spans="1:32">
      <c r="A81" s="34"/>
      <c r="B81" s="34"/>
      <c r="C81" s="34"/>
      <c r="D81" s="34"/>
      <c r="E81" s="34"/>
      <c r="F81" s="34"/>
      <c r="G81" s="34"/>
      <c r="H81" s="833">
        <v>37437</v>
      </c>
      <c r="I81" s="826">
        <v>6.48</v>
      </c>
      <c r="J81" s="827">
        <v>6.64</v>
      </c>
      <c r="K81" s="828">
        <f t="shared" si="2"/>
        <v>0.15999999999999925</v>
      </c>
      <c r="L81" s="34"/>
      <c r="M81" s="854">
        <v>39629</v>
      </c>
      <c r="N81" s="826">
        <v>6.4459999999999997</v>
      </c>
      <c r="O81" s="827">
        <v>6.4153000000000002</v>
      </c>
      <c r="P81" s="828">
        <f t="shared" si="3"/>
        <v>-3.0699999999999505E-2</v>
      </c>
      <c r="Q81" s="34"/>
      <c r="R81" s="834">
        <v>41820</v>
      </c>
      <c r="S81" s="835">
        <v>4.08</v>
      </c>
      <c r="T81" s="817">
        <v>4.42</v>
      </c>
      <c r="U81" s="809">
        <f t="shared" si="4"/>
        <v>0.33999999999999986</v>
      </c>
      <c r="V81" s="34"/>
      <c r="W81" s="841">
        <v>44012</v>
      </c>
      <c r="X81" s="855">
        <v>0.43</v>
      </c>
      <c r="Y81" s="1051">
        <v>0.9</v>
      </c>
      <c r="Z81" s="690">
        <f t="shared" si="5"/>
        <v>0.47000000000000003</v>
      </c>
      <c r="AA81" s="34"/>
      <c r="AB81" s="957"/>
      <c r="AC81" s="957"/>
    </row>
    <row r="82" spans="1:32">
      <c r="A82" s="34"/>
      <c r="B82" s="34"/>
      <c r="C82" s="34"/>
      <c r="D82" s="34"/>
      <c r="E82" s="34"/>
      <c r="F82" s="34"/>
      <c r="G82" s="34"/>
      <c r="H82" s="833">
        <v>37468</v>
      </c>
      <c r="I82" s="826">
        <v>6.2896000000000001</v>
      </c>
      <c r="J82" s="826">
        <v>6.5361000000000002</v>
      </c>
      <c r="K82" s="828">
        <f t="shared" si="2"/>
        <v>0.24650000000000016</v>
      </c>
      <c r="L82" s="34"/>
      <c r="M82" s="854">
        <v>39660</v>
      </c>
      <c r="N82" s="826">
        <v>6.1837</v>
      </c>
      <c r="O82" s="826">
        <v>6.1772</v>
      </c>
      <c r="P82" s="828">
        <f t="shared" si="3"/>
        <v>-6.4999999999999503E-3</v>
      </c>
      <c r="Q82" s="34"/>
      <c r="R82" s="834">
        <v>41851</v>
      </c>
      <c r="S82" s="835">
        <v>4.09</v>
      </c>
      <c r="T82" s="835">
        <v>4.37</v>
      </c>
      <c r="U82" s="809">
        <f t="shared" si="4"/>
        <v>0.28000000000000025</v>
      </c>
      <c r="V82" s="34"/>
      <c r="W82" s="849">
        <v>44043</v>
      </c>
      <c r="X82" s="846">
        <v>0.42</v>
      </c>
      <c r="Y82" s="846">
        <v>0.91</v>
      </c>
      <c r="Z82" s="690">
        <f t="shared" si="5"/>
        <v>0.49000000000000005</v>
      </c>
      <c r="AA82" s="34"/>
      <c r="AB82" s="957"/>
      <c r="AC82" s="957"/>
    </row>
    <row r="83" spans="1:32">
      <c r="A83" s="34"/>
      <c r="B83" s="34"/>
      <c r="C83" s="34"/>
      <c r="D83" s="34"/>
      <c r="E83" s="34"/>
      <c r="F83" s="34"/>
      <c r="G83" s="34"/>
      <c r="H83" s="833">
        <v>37499</v>
      </c>
      <c r="I83" s="826">
        <v>6.0781999999999998</v>
      </c>
      <c r="J83" s="826">
        <v>6.3318000000000003</v>
      </c>
      <c r="K83" s="828">
        <f t="shared" si="2"/>
        <v>0.25360000000000049</v>
      </c>
      <c r="L83" s="34"/>
      <c r="M83" s="833">
        <v>39691</v>
      </c>
      <c r="N83" s="826">
        <v>6.1768999999999998</v>
      </c>
      <c r="O83" s="826">
        <v>6.1279000000000003</v>
      </c>
      <c r="P83" s="828">
        <f t="shared" si="3"/>
        <v>-4.8999999999999488E-2</v>
      </c>
      <c r="Q83" s="34"/>
      <c r="R83" s="834">
        <v>41882</v>
      </c>
      <c r="S83" s="835">
        <v>3.98</v>
      </c>
      <c r="T83" s="835">
        <v>4.2</v>
      </c>
      <c r="U83" s="809">
        <f t="shared" si="4"/>
        <v>0.2200000000000002</v>
      </c>
      <c r="V83" s="34"/>
      <c r="W83" s="849">
        <v>44074</v>
      </c>
      <c r="X83" s="846">
        <v>0.25</v>
      </c>
      <c r="Y83" s="846">
        <v>0.68</v>
      </c>
      <c r="Z83" s="690">
        <f t="shared" si="5"/>
        <v>0.43000000000000005</v>
      </c>
      <c r="AA83" s="34"/>
      <c r="AB83" s="846"/>
      <c r="AC83" s="846"/>
      <c r="AD83" s="34"/>
      <c r="AE83" s="34"/>
      <c r="AF83" s="34"/>
    </row>
    <row r="84" spans="1:32">
      <c r="A84" s="34"/>
      <c r="B84" s="34"/>
      <c r="C84" s="34"/>
      <c r="D84" s="34"/>
      <c r="E84" s="34"/>
      <c r="F84" s="34"/>
      <c r="G84" s="34"/>
      <c r="H84" s="833">
        <v>37529</v>
      </c>
      <c r="I84" s="826">
        <v>5.9233000000000002</v>
      </c>
      <c r="J84" s="826">
        <v>6.1692999999999998</v>
      </c>
      <c r="K84" s="828">
        <f t="shared" si="2"/>
        <v>0.24599999999999955</v>
      </c>
      <c r="L84" s="34"/>
      <c r="M84" s="854">
        <v>39721</v>
      </c>
      <c r="N84" s="826">
        <v>5.7727000000000004</v>
      </c>
      <c r="O84" s="826">
        <v>5.8244999999999996</v>
      </c>
      <c r="P84" s="828">
        <f t="shared" si="3"/>
        <v>5.179999999999918E-2</v>
      </c>
      <c r="Q84" s="34"/>
      <c r="R84" s="834">
        <v>41912</v>
      </c>
      <c r="S84" s="835">
        <v>4.01</v>
      </c>
      <c r="T84" s="835">
        <v>4.1900000000000004</v>
      </c>
      <c r="U84" s="809">
        <f t="shared" si="4"/>
        <v>0.1800000000000006</v>
      </c>
      <c r="V84" s="34"/>
      <c r="W84" s="849">
        <v>44104</v>
      </c>
      <c r="X84" s="846">
        <v>0.02</v>
      </c>
      <c r="Y84" s="846">
        <v>0.56000000000000005</v>
      </c>
      <c r="Z84" s="690">
        <f t="shared" si="5"/>
        <v>0.54</v>
      </c>
      <c r="AA84" s="34"/>
      <c r="AB84" s="846"/>
      <c r="AC84" s="846"/>
      <c r="AD84" s="34"/>
      <c r="AE84" s="34"/>
      <c r="AF84" s="34"/>
    </row>
    <row r="85" spans="1:32">
      <c r="A85" s="34"/>
      <c r="B85" s="34"/>
      <c r="C85" s="34"/>
      <c r="D85" s="34"/>
      <c r="E85" s="34"/>
      <c r="F85" s="34"/>
      <c r="G85" s="34"/>
      <c r="H85" s="833">
        <v>37560</v>
      </c>
      <c r="I85" s="826">
        <v>6.0159000000000002</v>
      </c>
      <c r="J85" s="826">
        <v>6.3268000000000004</v>
      </c>
      <c r="K85" s="828">
        <f t="shared" ref="K85:K92" si="7">J85-I85</f>
        <v>0.31090000000000018</v>
      </c>
      <c r="L85" s="34"/>
      <c r="M85" s="854">
        <v>39752</v>
      </c>
      <c r="N85" s="826">
        <v>5.6866000000000003</v>
      </c>
      <c r="O85" s="826">
        <v>5.8616000000000001</v>
      </c>
      <c r="P85" s="828">
        <f t="shared" ref="P85:P92" si="8">O85-N85</f>
        <v>0.17499999999999982</v>
      </c>
      <c r="Q85" s="34"/>
      <c r="R85" s="834">
        <v>41943</v>
      </c>
      <c r="S85" s="835">
        <v>3.94</v>
      </c>
      <c r="T85" s="835">
        <v>4.04</v>
      </c>
      <c r="U85" s="809">
        <f t="shared" ref="U85:U92" si="9">T85-S85</f>
        <v>0.10000000000000009</v>
      </c>
      <c r="V85" s="34"/>
      <c r="W85" s="849">
        <v>44135</v>
      </c>
      <c r="X85" s="846">
        <v>0.03</v>
      </c>
      <c r="Y85" s="846">
        <v>0.54</v>
      </c>
      <c r="Z85" s="690">
        <f t="shared" ref="Z85:Z93" si="10">Y85-X85</f>
        <v>0.51</v>
      </c>
      <c r="AA85" s="34"/>
      <c r="AB85" s="846"/>
      <c r="AC85" s="846"/>
      <c r="AD85" s="34"/>
      <c r="AE85" s="34"/>
      <c r="AF85" s="34"/>
    </row>
    <row r="86" spans="1:32">
      <c r="A86" s="34"/>
      <c r="B86" s="34"/>
      <c r="C86" s="34"/>
      <c r="D86" s="34"/>
      <c r="E86" s="34"/>
      <c r="F86" s="34"/>
      <c r="G86" s="34"/>
      <c r="H86" s="833">
        <v>37590</v>
      </c>
      <c r="I86" s="826">
        <v>5.9509999999999996</v>
      </c>
      <c r="J86" s="826">
        <v>6.2850000000000001</v>
      </c>
      <c r="K86" s="828">
        <f t="shared" si="7"/>
        <v>0.33400000000000052</v>
      </c>
      <c r="L86" s="34"/>
      <c r="M86" s="854">
        <v>39782</v>
      </c>
      <c r="N86" s="826">
        <v>5.4814999999999996</v>
      </c>
      <c r="O86" s="826">
        <v>5.7293000000000003</v>
      </c>
      <c r="P86" s="828">
        <f t="shared" si="8"/>
        <v>0.24780000000000069</v>
      </c>
      <c r="Q86" s="34"/>
      <c r="R86" s="834">
        <v>41973</v>
      </c>
      <c r="S86" s="34">
        <v>3.89</v>
      </c>
      <c r="T86" s="34">
        <v>4.03</v>
      </c>
      <c r="U86" s="809">
        <f t="shared" si="9"/>
        <v>0.14000000000000012</v>
      </c>
      <c r="V86" s="34"/>
      <c r="W86" s="849">
        <v>44165</v>
      </c>
      <c r="X86" s="846">
        <v>0.21</v>
      </c>
      <c r="Y86" s="846">
        <v>0.75</v>
      </c>
      <c r="Z86" s="690">
        <f t="shared" si="10"/>
        <v>0.54</v>
      </c>
      <c r="AA86" s="34"/>
      <c r="AB86" s="846"/>
      <c r="AC86" s="846"/>
      <c r="AD86" s="1276" t="s">
        <v>1468</v>
      </c>
      <c r="AE86" s="1276" t="s">
        <v>1469</v>
      </c>
      <c r="AF86" s="1276" t="s">
        <v>1470</v>
      </c>
    </row>
    <row r="87" spans="1:32">
      <c r="A87" s="34"/>
      <c r="B87" s="34"/>
      <c r="C87" s="34"/>
      <c r="D87" s="34"/>
      <c r="E87" s="34"/>
      <c r="F87" s="34"/>
      <c r="G87" s="34"/>
      <c r="H87" s="833">
        <v>37621</v>
      </c>
      <c r="I87" s="826">
        <v>5.9269999999999996</v>
      </c>
      <c r="J87" s="836">
        <v>6.2770000000000001</v>
      </c>
      <c r="K87" s="828">
        <f t="shared" si="7"/>
        <v>0.35000000000000053</v>
      </c>
      <c r="L87" s="34"/>
      <c r="M87" s="854">
        <v>39813</v>
      </c>
      <c r="N87" s="826">
        <v>4.5792999999999999</v>
      </c>
      <c r="O87" s="836">
        <v>4.8771000000000004</v>
      </c>
      <c r="P87" s="828">
        <f t="shared" si="8"/>
        <v>0.29780000000000051</v>
      </c>
      <c r="Q87" s="34"/>
      <c r="R87" s="834">
        <v>42004</v>
      </c>
      <c r="S87" s="835">
        <v>3.67</v>
      </c>
      <c r="T87" s="837">
        <v>3.77</v>
      </c>
      <c r="U87" s="809">
        <f t="shared" si="9"/>
        <v>0.10000000000000009</v>
      </c>
      <c r="V87" s="34"/>
      <c r="W87" s="849">
        <v>44196</v>
      </c>
      <c r="X87" s="846">
        <v>0.34</v>
      </c>
      <c r="Y87" s="846">
        <v>0.92</v>
      </c>
      <c r="Z87" s="690">
        <f t="shared" si="10"/>
        <v>0.58000000000000007</v>
      </c>
      <c r="AA87" s="34"/>
    </row>
    <row r="88" spans="1:32">
      <c r="A88" s="34"/>
      <c r="B88" s="34"/>
      <c r="C88" s="34"/>
      <c r="D88" s="34"/>
      <c r="E88" s="34"/>
      <c r="F88" s="34"/>
      <c r="G88" s="34"/>
      <c r="H88" s="833">
        <v>37652</v>
      </c>
      <c r="I88" s="826">
        <v>5.7971000000000004</v>
      </c>
      <c r="J88" s="838">
        <v>6.1193</v>
      </c>
      <c r="K88" s="828">
        <f t="shared" si="7"/>
        <v>0.3221999999999996</v>
      </c>
      <c r="L88" s="34"/>
      <c r="M88" s="854">
        <v>39844</v>
      </c>
      <c r="N88" s="826">
        <v>4.0258000000000003</v>
      </c>
      <c r="O88" s="838">
        <v>4.4874999999999998</v>
      </c>
      <c r="P88" s="828">
        <f t="shared" si="8"/>
        <v>0.46169999999999956</v>
      </c>
      <c r="Q88" s="34"/>
      <c r="R88" s="834">
        <v>42035</v>
      </c>
      <c r="S88" s="835">
        <v>3.39</v>
      </c>
      <c r="T88" s="839">
        <v>3.42</v>
      </c>
      <c r="U88" s="809">
        <f t="shared" si="9"/>
        <v>2.9999999999999805E-2</v>
      </c>
      <c r="V88" s="34"/>
      <c r="W88" s="849">
        <v>44227</v>
      </c>
      <c r="X88" s="846">
        <v>0.39</v>
      </c>
      <c r="Y88" s="1050">
        <v>1.04</v>
      </c>
      <c r="Z88" s="690">
        <f t="shared" si="10"/>
        <v>0.65</v>
      </c>
      <c r="AA88" s="34"/>
    </row>
    <row r="89" spans="1:32">
      <c r="A89" s="34"/>
      <c r="B89" s="34"/>
      <c r="C89" s="34"/>
      <c r="D89" s="34"/>
      <c r="E89" s="34"/>
      <c r="F89" s="34"/>
      <c r="G89" s="34"/>
      <c r="H89" s="833">
        <v>37680</v>
      </c>
      <c r="I89" s="826">
        <v>5.4565999999999999</v>
      </c>
      <c r="J89" s="826">
        <v>5.8773999999999997</v>
      </c>
      <c r="K89" s="828">
        <f t="shared" si="7"/>
        <v>0.42079999999999984</v>
      </c>
      <c r="L89" s="34"/>
      <c r="M89" s="854">
        <v>39872</v>
      </c>
      <c r="N89" s="826">
        <v>3.8786999999999998</v>
      </c>
      <c r="O89" s="826">
        <v>4.5297000000000001</v>
      </c>
      <c r="P89" s="828">
        <f t="shared" si="8"/>
        <v>0.65100000000000025</v>
      </c>
      <c r="Q89" s="34"/>
      <c r="R89" s="834">
        <v>42063</v>
      </c>
      <c r="S89" s="835">
        <v>3.21</v>
      </c>
      <c r="T89" s="835">
        <v>3.26</v>
      </c>
      <c r="U89" s="809">
        <f t="shared" si="9"/>
        <v>4.9999999999999822E-2</v>
      </c>
      <c r="V89" s="34"/>
      <c r="W89" s="834">
        <v>44255</v>
      </c>
      <c r="X89" s="846">
        <v>0.75</v>
      </c>
      <c r="Y89" s="846">
        <v>1.47</v>
      </c>
      <c r="Z89" s="690">
        <f t="shared" si="10"/>
        <v>0.72</v>
      </c>
      <c r="AA89" s="34"/>
    </row>
    <row r="90" spans="1:32">
      <c r="A90" s="34"/>
      <c r="B90" s="34"/>
      <c r="C90" s="34"/>
      <c r="D90" s="34"/>
      <c r="E90" s="34"/>
      <c r="F90" s="34"/>
      <c r="G90" s="34"/>
      <c r="H90" s="833">
        <v>37711</v>
      </c>
      <c r="I90" s="826">
        <v>5.4692999999999996</v>
      </c>
      <c r="J90" s="840">
        <v>5.9123999999999999</v>
      </c>
      <c r="K90" s="828">
        <f t="shared" si="7"/>
        <v>0.44310000000000027</v>
      </c>
      <c r="L90" s="34"/>
      <c r="M90" s="825">
        <v>39903</v>
      </c>
      <c r="N90" s="826">
        <v>4.0202</v>
      </c>
      <c r="O90" s="840">
        <v>4.7744999999999997</v>
      </c>
      <c r="P90" s="828">
        <f t="shared" si="8"/>
        <v>0.75429999999999975</v>
      </c>
      <c r="Q90" s="34"/>
      <c r="R90" s="834">
        <v>42094</v>
      </c>
      <c r="S90" s="835">
        <v>3.21</v>
      </c>
      <c r="T90" s="815">
        <v>3.3</v>
      </c>
      <c r="U90" s="809">
        <f t="shared" si="9"/>
        <v>8.9999999999999858E-2</v>
      </c>
      <c r="V90" s="34"/>
      <c r="W90" s="834">
        <v>44256</v>
      </c>
      <c r="X90" s="846">
        <v>1.03</v>
      </c>
      <c r="Y90" s="847">
        <v>1.76</v>
      </c>
      <c r="Z90" s="690">
        <f t="shared" si="10"/>
        <v>0.73</v>
      </c>
      <c r="AA90" s="34"/>
    </row>
    <row r="91" spans="1:32">
      <c r="A91" s="34"/>
      <c r="B91" s="34"/>
      <c r="C91" s="34"/>
      <c r="D91" s="34"/>
      <c r="E91" s="34"/>
      <c r="F91" s="34"/>
      <c r="G91" s="34"/>
      <c r="H91" s="833">
        <v>37741</v>
      </c>
      <c r="I91" s="826">
        <v>5.5194999999999999</v>
      </c>
      <c r="J91" s="826">
        <v>5.9789000000000003</v>
      </c>
      <c r="K91" s="828">
        <f t="shared" si="7"/>
        <v>0.45940000000000047</v>
      </c>
      <c r="L91" s="34"/>
      <c r="M91" s="825">
        <v>39933</v>
      </c>
      <c r="N91" s="826">
        <v>4.3613</v>
      </c>
      <c r="O91" s="826">
        <v>5.2358000000000002</v>
      </c>
      <c r="P91" s="828">
        <f t="shared" si="8"/>
        <v>0.87450000000000028</v>
      </c>
      <c r="Q91" s="34"/>
      <c r="R91" s="834">
        <v>42124</v>
      </c>
      <c r="S91" s="835">
        <v>3.11</v>
      </c>
      <c r="T91" s="835">
        <v>3.25</v>
      </c>
      <c r="U91" s="809">
        <f t="shared" si="9"/>
        <v>0.14000000000000012</v>
      </c>
      <c r="V91" s="34"/>
      <c r="W91" s="834">
        <v>44316</v>
      </c>
      <c r="X91" s="846">
        <v>0.87</v>
      </c>
      <c r="Y91" s="846">
        <v>1.67</v>
      </c>
      <c r="Z91" s="690">
        <f t="shared" si="10"/>
        <v>0.79999999999999993</v>
      </c>
      <c r="AA91" s="34"/>
    </row>
    <row r="92" spans="1:32">
      <c r="A92" s="43"/>
      <c r="B92" s="43"/>
      <c r="C92" s="43"/>
      <c r="D92" s="43"/>
      <c r="E92" s="43"/>
      <c r="F92" s="43"/>
      <c r="G92" s="43"/>
      <c r="H92" s="949">
        <v>37772</v>
      </c>
      <c r="I92" s="950">
        <v>5.1867999999999999</v>
      </c>
      <c r="J92" s="950">
        <v>5.5968</v>
      </c>
      <c r="K92" s="951">
        <f t="shared" si="7"/>
        <v>0.41000000000000014</v>
      </c>
      <c r="L92" s="43"/>
      <c r="M92" s="952">
        <v>39964</v>
      </c>
      <c r="N92" s="950">
        <v>4.4781000000000004</v>
      </c>
      <c r="O92" s="950">
        <v>5.5860000000000003</v>
      </c>
      <c r="P92" s="951">
        <f t="shared" si="8"/>
        <v>1.1078999999999999</v>
      </c>
      <c r="Q92" s="43"/>
      <c r="R92" s="953">
        <v>42155</v>
      </c>
      <c r="S92" s="954">
        <v>3.2</v>
      </c>
      <c r="T92" s="954">
        <v>3.65</v>
      </c>
      <c r="U92" s="856">
        <f t="shared" si="9"/>
        <v>0.44999999999999973</v>
      </c>
      <c r="V92" s="43"/>
      <c r="W92" s="834">
        <v>44317</v>
      </c>
      <c r="X92" s="846">
        <v>1.04</v>
      </c>
      <c r="Y92" s="846">
        <v>1.81</v>
      </c>
      <c r="Z92" s="690">
        <f t="shared" si="10"/>
        <v>0.77</v>
      </c>
      <c r="AA92" s="34"/>
    </row>
    <row r="93" spans="1:32">
      <c r="A93" s="34"/>
      <c r="B93" s="34"/>
      <c r="C93" s="34"/>
      <c r="D93" s="34"/>
      <c r="E93" s="34"/>
      <c r="F93" s="34"/>
      <c r="G93" s="34"/>
      <c r="H93" s="34"/>
      <c r="I93" s="34"/>
      <c r="J93" s="34"/>
      <c r="K93" s="34"/>
      <c r="L93" s="34"/>
      <c r="M93" s="34"/>
      <c r="N93" s="34"/>
      <c r="O93" s="34"/>
      <c r="P93" s="34"/>
      <c r="Q93" s="34"/>
      <c r="R93" s="34"/>
      <c r="S93" s="34"/>
      <c r="T93" s="34"/>
      <c r="U93" s="34"/>
      <c r="V93" s="34"/>
      <c r="W93" s="841">
        <v>44377</v>
      </c>
      <c r="X93" s="855">
        <v>1.03</v>
      </c>
      <c r="Y93" s="1051">
        <v>1.76</v>
      </c>
      <c r="Z93" s="690">
        <f t="shared" si="10"/>
        <v>0.73</v>
      </c>
      <c r="AA93" s="34"/>
    </row>
    <row r="94" spans="1:32" ht="18">
      <c r="A94" s="1032"/>
      <c r="B94" s="1032"/>
      <c r="C94" s="1032"/>
      <c r="D94" s="1032"/>
      <c r="E94" s="1032"/>
      <c r="G94" s="1363">
        <f>[1]Control!$D$1</f>
        <v>0</v>
      </c>
      <c r="H94" s="1363"/>
      <c r="I94" s="1363"/>
      <c r="J94" s="1363"/>
      <c r="M94" s="979"/>
      <c r="N94" s="979"/>
      <c r="O94" s="38"/>
      <c r="P94" s="719"/>
      <c r="Q94" s="1609"/>
      <c r="R94" s="1609"/>
      <c r="S94" s="1609"/>
      <c r="T94" s="6"/>
      <c r="U94" s="6"/>
      <c r="V94" s="6"/>
      <c r="W94" s="1615" t="s">
        <v>454</v>
      </c>
      <c r="X94" s="1615"/>
      <c r="Y94" s="1615"/>
      <c r="Z94" s="1615"/>
      <c r="AA94" s="1616"/>
      <c r="AB94" s="1084" t="s">
        <v>333</v>
      </c>
      <c r="AD94" s="34"/>
      <c r="AE94" s="34"/>
      <c r="AF94" s="34"/>
    </row>
    <row r="95" spans="1:32" ht="15.75">
      <c r="A95" s="630" t="s">
        <v>1251</v>
      </c>
      <c r="B95" s="747"/>
      <c r="C95" s="748"/>
      <c r="D95" s="749"/>
      <c r="E95" s="34"/>
      <c r="F95" s="34"/>
      <c r="G95" s="34"/>
      <c r="H95" s="34"/>
      <c r="I95" s="34"/>
      <c r="J95" s="34"/>
      <c r="K95" s="34"/>
      <c r="L95" s="34"/>
      <c r="M95" s="34"/>
      <c r="N95" s="34"/>
      <c r="O95" s="34"/>
      <c r="P95" s="34"/>
      <c r="Q95" s="34"/>
      <c r="R95" s="34">
        <v>0</v>
      </c>
      <c r="S95" s="34">
        <f t="shared" ref="S95:AB96" si="11">R95+1</f>
        <v>1</v>
      </c>
      <c r="T95" s="34">
        <f t="shared" si="11"/>
        <v>2</v>
      </c>
      <c r="U95" s="34">
        <f t="shared" si="11"/>
        <v>3</v>
      </c>
      <c r="V95" s="34">
        <f t="shared" si="11"/>
        <v>4</v>
      </c>
      <c r="W95" s="34">
        <f t="shared" si="11"/>
        <v>5</v>
      </c>
      <c r="X95" s="34">
        <f t="shared" si="11"/>
        <v>6</v>
      </c>
      <c r="Y95" s="34">
        <f t="shared" si="11"/>
        <v>7</v>
      </c>
      <c r="Z95" s="34">
        <f t="shared" si="11"/>
        <v>8</v>
      </c>
      <c r="AA95" s="34">
        <f t="shared" si="11"/>
        <v>9</v>
      </c>
      <c r="AB95" s="34">
        <f t="shared" si="11"/>
        <v>10</v>
      </c>
    </row>
    <row r="96" spans="1:32">
      <c r="A96" s="960"/>
      <c r="B96" s="6"/>
      <c r="C96" s="983"/>
      <c r="D96" s="983"/>
      <c r="E96" s="1276"/>
      <c r="F96" s="988"/>
      <c r="G96" s="988"/>
      <c r="H96" s="988"/>
      <c r="I96" s="988"/>
      <c r="J96" s="988"/>
      <c r="K96" s="988"/>
      <c r="L96" s="988"/>
      <c r="M96" s="988"/>
      <c r="N96" s="988"/>
      <c r="O96" s="988"/>
      <c r="P96" s="988"/>
      <c r="Q96" s="34"/>
      <c r="R96" s="980">
        <f>AB100+1</f>
        <v>2011</v>
      </c>
      <c r="S96" s="980">
        <f>R96+1</f>
        <v>2012</v>
      </c>
      <c r="T96" s="980">
        <f>S96+1</f>
        <v>2013</v>
      </c>
      <c r="U96" s="980">
        <v>2014</v>
      </c>
      <c r="V96" s="980">
        <f t="shared" si="11"/>
        <v>2015</v>
      </c>
      <c r="W96" s="980">
        <f t="shared" si="11"/>
        <v>2016</v>
      </c>
      <c r="X96" s="980">
        <f t="shared" si="11"/>
        <v>2017</v>
      </c>
      <c r="Y96" s="980">
        <f t="shared" si="11"/>
        <v>2018</v>
      </c>
      <c r="Z96" s="980">
        <f t="shared" si="11"/>
        <v>2019</v>
      </c>
      <c r="AA96" s="980">
        <f t="shared" si="11"/>
        <v>2020</v>
      </c>
      <c r="AB96" s="980">
        <f t="shared" si="11"/>
        <v>2021</v>
      </c>
    </row>
    <row r="97" spans="1:28" ht="14.25">
      <c r="A97" s="960"/>
      <c r="B97" s="6"/>
      <c r="C97" s="983"/>
      <c r="D97" s="1095" t="s">
        <v>433</v>
      </c>
      <c r="E97" s="1276"/>
      <c r="F97" s="988"/>
      <c r="G97" s="988"/>
      <c r="H97" s="988"/>
      <c r="I97" s="988"/>
      <c r="J97" s="988"/>
      <c r="K97" s="988"/>
      <c r="L97" s="988"/>
      <c r="M97" s="988"/>
      <c r="N97" s="988"/>
      <c r="O97" s="988"/>
      <c r="P97" s="988"/>
      <c r="Q97" s="1169">
        <v>44378</v>
      </c>
      <c r="R97" s="1451">
        <f>W110</f>
        <v>2.8549639999999998</v>
      </c>
      <c r="S97" s="1451">
        <f>W122</f>
        <v>2.9151349999999998</v>
      </c>
      <c r="T97" s="1254">
        <f>W134</f>
        <v>3.2273939999999999</v>
      </c>
      <c r="U97" s="1254">
        <f>W146</f>
        <v>3.415921</v>
      </c>
      <c r="V97" s="1254">
        <f>W158</f>
        <v>3.4799389999999999</v>
      </c>
      <c r="W97" s="1254">
        <f>W170</f>
        <v>4.0045539999999997</v>
      </c>
      <c r="X97" s="1254">
        <f>W182</f>
        <v>4.1868449999999999</v>
      </c>
      <c r="Y97" s="1254">
        <f>W194</f>
        <v>4.755439</v>
      </c>
      <c r="Z97" s="1254">
        <f>W206</f>
        <v>6.7942309999999999</v>
      </c>
      <c r="AA97" s="1254">
        <f>W218</f>
        <v>5.3806719999999997</v>
      </c>
      <c r="AB97" s="1254">
        <f>W230</f>
        <v>7.9527929999999998</v>
      </c>
    </row>
    <row r="98" spans="1:28">
      <c r="A98" s="960"/>
      <c r="B98" s="6"/>
      <c r="C98" s="983"/>
      <c r="D98" s="983"/>
      <c r="E98" s="1276"/>
      <c r="F98" s="988"/>
      <c r="G98" s="988"/>
      <c r="H98" s="988"/>
      <c r="I98" s="988"/>
      <c r="J98" s="988"/>
      <c r="K98" s="988"/>
      <c r="L98" s="988"/>
      <c r="M98" s="988"/>
      <c r="N98" s="988"/>
      <c r="O98" s="988"/>
      <c r="P98" s="988"/>
      <c r="Q98" s="1169"/>
      <c r="R98" s="1452"/>
      <c r="S98" s="1452"/>
      <c r="T98" s="1453"/>
      <c r="U98" s="1254"/>
      <c r="V98" s="1254"/>
      <c r="W98" s="1254"/>
      <c r="X98" s="1254"/>
      <c r="Y98" s="1254"/>
      <c r="Z98" s="1254"/>
      <c r="AA98" s="1254"/>
      <c r="AB98" s="1254"/>
    </row>
    <row r="99" spans="1:28">
      <c r="A99" s="960"/>
      <c r="B99" s="6"/>
      <c r="C99" s="983"/>
      <c r="D99" s="983"/>
      <c r="E99" s="1276"/>
      <c r="F99" s="988"/>
      <c r="G99" s="988"/>
      <c r="H99" s="988"/>
      <c r="I99" s="988"/>
      <c r="J99" s="988"/>
      <c r="K99" s="988"/>
      <c r="L99" s="988"/>
      <c r="M99" s="988"/>
      <c r="N99" s="988"/>
      <c r="O99" s="988"/>
      <c r="P99" s="988"/>
      <c r="Q99" s="34"/>
      <c r="S99" s="604"/>
      <c r="T99" s="604"/>
      <c r="U99" s="704"/>
      <c r="V99" s="604"/>
      <c r="W99" s="604"/>
      <c r="X99" s="604"/>
      <c r="Y99" s="604"/>
      <c r="Z99" s="604"/>
      <c r="AA99" s="604"/>
      <c r="AB99" s="807"/>
    </row>
    <row r="100" spans="1:28">
      <c r="A100" s="960"/>
      <c r="B100" s="6"/>
      <c r="C100" s="983"/>
      <c r="D100" s="983"/>
      <c r="E100" s="1276"/>
      <c r="F100" s="988"/>
      <c r="G100" s="988"/>
      <c r="H100" s="988"/>
      <c r="I100" s="988"/>
      <c r="J100" s="988"/>
      <c r="K100" s="988"/>
      <c r="L100" s="988"/>
      <c r="M100" s="988"/>
      <c r="N100" s="988"/>
      <c r="O100" s="988"/>
      <c r="P100" s="988"/>
      <c r="Q100" s="34"/>
      <c r="R100" s="980">
        <f>S100-1</f>
        <v>2000</v>
      </c>
      <c r="S100" s="980">
        <f>T100-1</f>
        <v>2001</v>
      </c>
      <c r="T100" s="980">
        <f>U100-1</f>
        <v>2002</v>
      </c>
      <c r="U100" s="980">
        <v>2003</v>
      </c>
      <c r="V100" s="980">
        <v>2004</v>
      </c>
      <c r="W100" s="980">
        <f t="shared" ref="W100:AB100" si="12">V100+1</f>
        <v>2005</v>
      </c>
      <c r="X100" s="980">
        <f t="shared" si="12"/>
        <v>2006</v>
      </c>
      <c r="Y100" s="980">
        <f t="shared" si="12"/>
        <v>2007</v>
      </c>
      <c r="Z100" s="980">
        <f t="shared" si="12"/>
        <v>2008</v>
      </c>
      <c r="AA100" s="980">
        <f t="shared" si="12"/>
        <v>2009</v>
      </c>
      <c r="AB100" s="980">
        <f t="shared" si="12"/>
        <v>2010</v>
      </c>
    </row>
    <row r="101" spans="1:28" ht="14.25">
      <c r="A101" s="960"/>
      <c r="B101" s="6"/>
      <c r="C101" s="983"/>
      <c r="D101" s="1095" t="s">
        <v>433</v>
      </c>
      <c r="E101" s="1276"/>
      <c r="F101" s="988"/>
      <c r="G101" s="988"/>
      <c r="H101" s="988"/>
      <c r="I101" s="988"/>
      <c r="J101" s="988"/>
      <c r="K101" s="988"/>
      <c r="L101" s="988"/>
      <c r="M101" s="988"/>
      <c r="N101" s="988"/>
      <c r="O101" s="988"/>
      <c r="P101" s="988"/>
      <c r="Q101" s="1169">
        <v>44378</v>
      </c>
      <c r="R101" s="1254">
        <f>S110</f>
        <v>1.2528250000000001</v>
      </c>
      <c r="S101" s="1451">
        <f>S122</f>
        <v>1.5379830000000001</v>
      </c>
      <c r="T101" s="1451">
        <f>S134</f>
        <v>1.776394</v>
      </c>
      <c r="U101" s="1254">
        <f>S146</f>
        <v>2.2672400000000001</v>
      </c>
      <c r="V101" s="1254">
        <f>S158</f>
        <v>2.8141820000000002</v>
      </c>
      <c r="W101" s="1254">
        <f>S170</f>
        <v>3.5995349999999999</v>
      </c>
      <c r="X101" s="1254">
        <f>S182</f>
        <v>3.300354</v>
      </c>
      <c r="Y101" s="1254">
        <f>S194</f>
        <v>4.3241180000000004</v>
      </c>
      <c r="Z101" s="1254">
        <f>S206</f>
        <v>3.9267650000000001</v>
      </c>
      <c r="AA101" s="1254">
        <f>S218</f>
        <v>3.0040840000000002</v>
      </c>
      <c r="AB101" s="1254">
        <f>S230</f>
        <v>2.842997</v>
      </c>
    </row>
    <row r="102" spans="1:28">
      <c r="A102" s="961"/>
      <c r="B102" s="80"/>
      <c r="C102" s="1191"/>
      <c r="D102" s="1191"/>
      <c r="E102" s="612"/>
      <c r="F102" s="1454"/>
      <c r="G102" s="1454"/>
      <c r="H102" s="1454"/>
      <c r="I102" s="1454"/>
      <c r="J102" s="1454"/>
      <c r="K102" s="1454"/>
      <c r="L102" s="1454"/>
      <c r="M102" s="1454"/>
      <c r="N102" s="1454"/>
      <c r="O102" s="1454"/>
      <c r="P102" s="1454"/>
      <c r="Q102" s="43"/>
      <c r="R102" s="4"/>
      <c r="S102" s="4"/>
      <c r="T102" s="4"/>
      <c r="U102" s="4"/>
      <c r="V102" s="4"/>
      <c r="W102" s="4"/>
      <c r="X102" s="4"/>
      <c r="Y102" s="43"/>
      <c r="Z102" s="43"/>
      <c r="AA102" s="43"/>
      <c r="AB102" s="43"/>
    </row>
    <row r="103" spans="1:28">
      <c r="A103" s="960"/>
      <c r="B103" s="6"/>
      <c r="C103" s="983"/>
      <c r="D103" s="983"/>
      <c r="E103" s="1276"/>
      <c r="F103" s="988"/>
      <c r="G103" s="988"/>
      <c r="H103" s="988"/>
      <c r="I103" s="988"/>
      <c r="J103" s="988"/>
      <c r="K103" s="988"/>
      <c r="L103" s="988"/>
      <c r="M103" s="988"/>
      <c r="N103" s="988"/>
      <c r="O103" s="988"/>
      <c r="P103" s="988"/>
      <c r="Q103" s="34"/>
      <c r="U103" s="988"/>
      <c r="V103" s="988"/>
      <c r="W103" s="988"/>
      <c r="X103" s="988"/>
    </row>
    <row r="104" spans="1:28">
      <c r="A104" s="960"/>
      <c r="B104" s="6"/>
      <c r="C104" s="983"/>
      <c r="D104" s="983"/>
      <c r="E104" s="1276"/>
      <c r="F104" s="988"/>
      <c r="G104" s="988"/>
      <c r="H104" s="988"/>
      <c r="I104" s="988"/>
      <c r="J104" s="988"/>
      <c r="K104" s="988"/>
      <c r="L104" s="988"/>
      <c r="M104" s="988"/>
      <c r="N104" s="988"/>
      <c r="O104" s="988"/>
      <c r="P104" s="988"/>
      <c r="Q104" s="13" t="s">
        <v>1471</v>
      </c>
      <c r="R104" s="13"/>
      <c r="S104" s="13" t="s">
        <v>1472</v>
      </c>
      <c r="T104" s="13"/>
      <c r="U104" s="13" t="s">
        <v>1471</v>
      </c>
      <c r="V104" s="13"/>
      <c r="W104" s="13" t="s">
        <v>1472</v>
      </c>
      <c r="X104" s="34"/>
      <c r="AB104" s="988"/>
    </row>
    <row r="105" spans="1:28">
      <c r="A105" s="960"/>
      <c r="B105" s="6"/>
      <c r="C105" s="983"/>
      <c r="D105" s="983"/>
      <c r="E105" s="1276"/>
      <c r="F105" s="988"/>
      <c r="G105" s="988"/>
      <c r="H105" s="988"/>
      <c r="I105" s="988"/>
      <c r="J105" s="988"/>
      <c r="K105" s="988"/>
      <c r="L105" s="988"/>
      <c r="M105" s="988"/>
      <c r="N105" s="988"/>
      <c r="O105" s="988"/>
      <c r="P105" s="988"/>
      <c r="Q105" s="82">
        <v>36557</v>
      </c>
      <c r="S105" s="323">
        <v>1.3276209999999999</v>
      </c>
      <c r="U105" s="186">
        <v>40575</v>
      </c>
      <c r="W105" s="323">
        <v>3.2222189999999999</v>
      </c>
      <c r="X105" s="34"/>
      <c r="AB105" s="988"/>
    </row>
    <row r="106" spans="1:28">
      <c r="A106" s="960"/>
      <c r="B106" s="6"/>
      <c r="C106" s="983"/>
      <c r="D106" s="983"/>
      <c r="E106" s="1276"/>
      <c r="F106" s="988"/>
      <c r="G106" s="988"/>
      <c r="H106" s="988"/>
      <c r="I106" s="988"/>
      <c r="J106" s="988"/>
      <c r="K106" s="988"/>
      <c r="L106" s="988"/>
      <c r="M106" s="988"/>
      <c r="N106" s="988"/>
      <c r="O106" s="988"/>
      <c r="P106" s="988"/>
      <c r="Q106" s="82">
        <v>36586</v>
      </c>
      <c r="S106" s="323">
        <v>1.2481500000000001</v>
      </c>
      <c r="U106" s="186">
        <v>40603</v>
      </c>
      <c r="W106" s="323">
        <v>3.1067670000000001</v>
      </c>
      <c r="X106" s="34"/>
      <c r="AB106" s="988"/>
    </row>
    <row r="107" spans="1:28">
      <c r="A107" s="960"/>
      <c r="B107" s="6"/>
      <c r="C107" s="983"/>
      <c r="D107" s="983"/>
      <c r="E107" s="1276"/>
      <c r="F107" s="988"/>
      <c r="G107" s="988"/>
      <c r="H107" s="988"/>
      <c r="I107" s="988"/>
      <c r="J107" s="988"/>
      <c r="K107" s="988"/>
      <c r="L107" s="988"/>
      <c r="M107" s="988"/>
      <c r="N107" s="988"/>
      <c r="O107" s="988"/>
      <c r="P107" s="988"/>
      <c r="Q107" s="82">
        <v>36617</v>
      </c>
      <c r="S107" s="323">
        <v>1.103234</v>
      </c>
      <c r="U107" s="186">
        <v>40634</v>
      </c>
      <c r="W107" s="323">
        <v>3.2345869999999999</v>
      </c>
      <c r="X107" s="34"/>
      <c r="AB107" s="988"/>
    </row>
    <row r="108" spans="1:28">
      <c r="A108" s="714"/>
      <c r="B108" s="714"/>
      <c r="C108" s="1455"/>
      <c r="D108" s="714"/>
      <c r="E108" s="604"/>
      <c r="F108" s="604"/>
      <c r="G108" s="604"/>
      <c r="H108" s="604"/>
      <c r="Q108" s="82">
        <v>36647</v>
      </c>
      <c r="S108" s="323">
        <v>1.2855479999999999</v>
      </c>
      <c r="U108" s="186">
        <v>40664</v>
      </c>
      <c r="W108" s="323">
        <v>3.3133059999999999</v>
      </c>
      <c r="X108" s="34"/>
    </row>
    <row r="109" spans="1:28">
      <c r="A109" s="714"/>
      <c r="B109" s="714"/>
      <c r="C109" s="1455"/>
      <c r="D109" s="714"/>
      <c r="E109" s="604"/>
      <c r="F109" s="604"/>
      <c r="G109" s="604"/>
      <c r="H109" s="604"/>
      <c r="Q109" s="82">
        <v>36678</v>
      </c>
      <c r="S109" s="323">
        <v>1.332295</v>
      </c>
      <c r="U109" s="186">
        <v>40695</v>
      </c>
      <c r="W109" s="323">
        <v>2.959886</v>
      </c>
      <c r="X109" s="34"/>
    </row>
    <row r="110" spans="1:28">
      <c r="A110" s="714"/>
      <c r="B110" s="714"/>
      <c r="C110" s="1455"/>
      <c r="D110" s="714"/>
      <c r="E110" s="604"/>
      <c r="F110" s="604"/>
      <c r="G110" s="604"/>
      <c r="H110" s="604"/>
      <c r="Q110" s="82">
        <v>36708</v>
      </c>
      <c r="S110" s="554">
        <v>1.2528250000000001</v>
      </c>
      <c r="U110" s="186">
        <v>40725</v>
      </c>
      <c r="W110" s="554">
        <v>2.8549639999999998</v>
      </c>
      <c r="X110" s="34"/>
    </row>
    <row r="111" spans="1:28">
      <c r="Q111" s="82">
        <v>36739</v>
      </c>
      <c r="S111" s="323">
        <v>1.206078</v>
      </c>
      <c r="U111" s="186">
        <v>40756</v>
      </c>
      <c r="W111" s="323">
        <v>2.9819749999999998</v>
      </c>
      <c r="X111" s="34"/>
    </row>
    <row r="112" spans="1:28">
      <c r="Q112" s="82">
        <v>36770</v>
      </c>
      <c r="S112" s="323">
        <v>1.224777</v>
      </c>
      <c r="U112" s="186">
        <v>40787</v>
      </c>
      <c r="W112" s="323">
        <v>3.0771510000000002</v>
      </c>
      <c r="X112" s="34"/>
    </row>
    <row r="113" spans="16:24">
      <c r="Q113" s="82">
        <v>36800</v>
      </c>
      <c r="S113" s="323">
        <v>1.2995730000000001</v>
      </c>
      <c r="U113" s="186">
        <v>40817</v>
      </c>
      <c r="W113" s="323">
        <v>3.1745719999999999</v>
      </c>
      <c r="X113" s="34"/>
    </row>
    <row r="114" spans="16:24">
      <c r="Q114" s="82">
        <v>36831</v>
      </c>
      <c r="S114" s="323">
        <v>1.332295</v>
      </c>
      <c r="U114" s="186">
        <v>40848</v>
      </c>
      <c r="W114" s="323">
        <v>3.0158429999999998</v>
      </c>
      <c r="X114" s="34"/>
    </row>
    <row r="115" spans="16:24">
      <c r="Q115" s="82">
        <v>36861</v>
      </c>
      <c r="S115" s="323">
        <v>1.238801</v>
      </c>
      <c r="U115" s="186">
        <v>40878</v>
      </c>
      <c r="W115" s="323">
        <v>2.9874990000000001</v>
      </c>
      <c r="X115" s="34"/>
    </row>
    <row r="116" spans="16:24">
      <c r="Q116" s="82">
        <v>36892</v>
      </c>
      <c r="S116" s="323">
        <v>1.3276209999999999</v>
      </c>
      <c r="U116" s="186">
        <v>40909</v>
      </c>
      <c r="W116" s="323">
        <v>2.709724</v>
      </c>
      <c r="X116" s="34"/>
    </row>
    <row r="117" spans="16:24">
      <c r="Q117" s="82">
        <v>36923</v>
      </c>
      <c r="S117" s="323">
        <v>1.3276209999999999</v>
      </c>
      <c r="U117" s="186">
        <v>40940</v>
      </c>
      <c r="W117" s="323">
        <v>2.7380680000000002</v>
      </c>
      <c r="X117" s="34"/>
    </row>
    <row r="118" spans="16:24">
      <c r="Q118" s="82">
        <v>36951</v>
      </c>
      <c r="S118" s="323">
        <v>1.350994</v>
      </c>
      <c r="U118" s="186">
        <v>40969</v>
      </c>
      <c r="W118" s="323">
        <v>2.7409059999999998</v>
      </c>
      <c r="X118" s="34"/>
    </row>
    <row r="119" spans="16:24">
      <c r="Q119" s="82">
        <v>36982</v>
      </c>
      <c r="S119" s="323">
        <v>1.430464</v>
      </c>
      <c r="U119" s="186">
        <v>41000</v>
      </c>
      <c r="W119" s="323">
        <v>2.8220369999999999</v>
      </c>
      <c r="X119" s="34"/>
    </row>
    <row r="120" spans="16:24">
      <c r="Q120" s="82">
        <v>37012</v>
      </c>
      <c r="S120" s="323">
        <v>1.3182720000000001</v>
      </c>
      <c r="U120" s="186">
        <v>41030</v>
      </c>
      <c r="W120" s="323">
        <v>2.839493</v>
      </c>
      <c r="X120" s="34"/>
    </row>
    <row r="121" spans="16:24">
      <c r="Q121" s="82">
        <v>37043</v>
      </c>
      <c r="S121" s="323">
        <v>1.4024160000000001</v>
      </c>
      <c r="U121" s="186">
        <v>41061</v>
      </c>
      <c r="W121" s="323">
        <v>2.8045800000000001</v>
      </c>
      <c r="X121" s="34"/>
    </row>
    <row r="122" spans="16:24">
      <c r="Q122" s="82">
        <v>37073</v>
      </c>
      <c r="S122" s="554">
        <v>1.5379830000000001</v>
      </c>
      <c r="U122" s="186">
        <v>41091</v>
      </c>
      <c r="W122" s="554">
        <v>2.9151349999999998</v>
      </c>
      <c r="X122" s="34"/>
    </row>
    <row r="123" spans="16:24">
      <c r="P123" s="34"/>
      <c r="Q123" s="82">
        <v>37104</v>
      </c>
      <c r="S123" s="323">
        <v>1.5940799999999999</v>
      </c>
      <c r="U123" s="186">
        <v>41122</v>
      </c>
      <c r="W123" s="323">
        <v>2.909373</v>
      </c>
      <c r="X123" s="34"/>
    </row>
    <row r="124" spans="16:24">
      <c r="P124" s="34"/>
      <c r="Q124" s="82">
        <v>37135</v>
      </c>
      <c r="S124" s="323">
        <v>1.589405</v>
      </c>
      <c r="U124" s="186">
        <v>41153</v>
      </c>
      <c r="W124" s="323">
        <v>3.1617890000000002</v>
      </c>
      <c r="X124" s="34"/>
    </row>
    <row r="125" spans="16:24">
      <c r="P125" s="34"/>
      <c r="Q125" s="82">
        <v>37165</v>
      </c>
      <c r="S125" s="323">
        <v>1.9400090000000001</v>
      </c>
      <c r="U125" s="186">
        <v>41183</v>
      </c>
      <c r="W125" s="323">
        <v>3.3174839999999999</v>
      </c>
      <c r="X125" s="34"/>
    </row>
    <row r="126" spans="16:24">
      <c r="P126" s="34"/>
      <c r="Q126" s="82">
        <v>37196</v>
      </c>
      <c r="S126" s="323">
        <v>1.8885879999999999</v>
      </c>
      <c r="U126" s="186">
        <v>41214</v>
      </c>
      <c r="W126" s="323">
        <v>3.1857419999999999</v>
      </c>
      <c r="X126" s="34"/>
    </row>
    <row r="127" spans="16:24">
      <c r="P127" s="34"/>
      <c r="Q127" s="82">
        <v>37226</v>
      </c>
      <c r="S127" s="323">
        <v>1.8605389999999999</v>
      </c>
      <c r="U127" s="186">
        <v>41244</v>
      </c>
      <c r="W127" s="323">
        <v>3.1138840000000001</v>
      </c>
      <c r="X127" s="34"/>
    </row>
    <row r="128" spans="16:24">
      <c r="P128" s="34"/>
      <c r="Q128" s="82">
        <v>37257</v>
      </c>
      <c r="S128" s="323">
        <v>1.7296469999999999</v>
      </c>
      <c r="U128" s="186">
        <v>41275</v>
      </c>
      <c r="W128" s="323">
        <v>3.1258590000000002</v>
      </c>
      <c r="X128" s="34"/>
    </row>
    <row r="129" spans="16:24">
      <c r="P129" s="34"/>
      <c r="Q129" s="82">
        <v>37288</v>
      </c>
      <c r="S129" s="323">
        <v>1.869888</v>
      </c>
      <c r="U129" s="186">
        <v>41306</v>
      </c>
      <c r="W129" s="323">
        <v>3.2276590000000001</v>
      </c>
      <c r="X129" s="34"/>
    </row>
    <row r="130" spans="16:24">
      <c r="P130" s="34"/>
      <c r="Q130" s="82">
        <v>37316</v>
      </c>
      <c r="S130" s="323">
        <v>1.8184670000000001</v>
      </c>
      <c r="U130" s="186">
        <v>41334</v>
      </c>
      <c r="W130" s="323">
        <v>3.4132950000000002</v>
      </c>
      <c r="X130" s="34"/>
    </row>
    <row r="131" spans="16:24">
      <c r="P131" s="34"/>
      <c r="Q131" s="82">
        <v>37347</v>
      </c>
      <c r="S131" s="323">
        <v>1.879238</v>
      </c>
      <c r="U131" s="186">
        <v>41365</v>
      </c>
      <c r="W131" s="323">
        <v>3.1733030000000002</v>
      </c>
      <c r="X131" s="34"/>
    </row>
    <row r="132" spans="16:24">
      <c r="P132" s="34"/>
      <c r="Q132" s="82">
        <v>37377</v>
      </c>
      <c r="S132" s="323">
        <v>1.8652139999999999</v>
      </c>
      <c r="U132" s="186">
        <v>41395</v>
      </c>
      <c r="W132" s="323">
        <v>3.1011820000000001</v>
      </c>
      <c r="X132" s="34"/>
    </row>
    <row r="133" spans="16:24">
      <c r="P133" s="34"/>
      <c r="Q133" s="82">
        <v>37408</v>
      </c>
      <c r="S133" s="323">
        <v>1.8652139999999999</v>
      </c>
      <c r="U133" s="186">
        <v>41426</v>
      </c>
      <c r="W133" s="323">
        <v>3.0771419999999998</v>
      </c>
      <c r="X133" s="34"/>
    </row>
    <row r="134" spans="16:24">
      <c r="P134" s="34"/>
      <c r="Q134" s="82">
        <v>37438</v>
      </c>
      <c r="S134" s="554">
        <v>1.776394</v>
      </c>
      <c r="U134" s="186">
        <v>41456</v>
      </c>
      <c r="W134" s="554">
        <v>3.2273939999999999</v>
      </c>
      <c r="X134" s="34"/>
    </row>
    <row r="135" spans="16:24">
      <c r="P135" s="34"/>
      <c r="Q135" s="82">
        <v>37469</v>
      </c>
      <c r="S135" s="323">
        <v>1.8324910000000001</v>
      </c>
      <c r="U135" s="186">
        <v>41487</v>
      </c>
      <c r="W135" s="323">
        <v>3.185324</v>
      </c>
      <c r="X135" s="34"/>
    </row>
    <row r="136" spans="16:24">
      <c r="P136" s="34"/>
      <c r="Q136" s="82">
        <v>37500</v>
      </c>
      <c r="S136" s="323">
        <v>1.767045</v>
      </c>
      <c r="U136" s="186">
        <v>41518</v>
      </c>
      <c r="W136" s="323">
        <v>3.2514340000000002</v>
      </c>
      <c r="X136" s="34"/>
    </row>
    <row r="137" spans="16:24">
      <c r="P137" s="34"/>
      <c r="Q137" s="82">
        <v>37530</v>
      </c>
      <c r="S137" s="323">
        <v>1.7904180000000001</v>
      </c>
      <c r="U137" s="186">
        <v>41548</v>
      </c>
      <c r="W137" s="323">
        <v>3.170051</v>
      </c>
      <c r="X137" s="34"/>
    </row>
    <row r="138" spans="16:24">
      <c r="P138" s="34"/>
      <c r="Q138" s="82">
        <v>37561</v>
      </c>
      <c r="S138" s="323">
        <v>1.7857430000000001</v>
      </c>
      <c r="U138" s="186">
        <v>41579</v>
      </c>
      <c r="W138" s="323">
        <v>2.8983319999999999</v>
      </c>
      <c r="X138" s="34"/>
    </row>
    <row r="139" spans="16:24">
      <c r="P139" s="34"/>
      <c r="Q139" s="82">
        <v>37591</v>
      </c>
      <c r="S139" s="323">
        <v>1.8558650000000001</v>
      </c>
      <c r="U139" s="186">
        <v>41609</v>
      </c>
      <c r="W139" s="323">
        <v>3.0975920000000001</v>
      </c>
      <c r="X139" s="34"/>
    </row>
    <row r="140" spans="16:24">
      <c r="P140" s="34"/>
      <c r="Q140" s="82">
        <v>37622</v>
      </c>
      <c r="S140" s="323">
        <v>1.9867570000000001</v>
      </c>
      <c r="U140" s="186">
        <v>41640</v>
      </c>
      <c r="W140" s="323">
        <v>3.1157059999999999</v>
      </c>
      <c r="X140" s="34"/>
    </row>
    <row r="141" spans="16:24">
      <c r="P141" s="34"/>
      <c r="Q141" s="82">
        <v>37653</v>
      </c>
      <c r="S141" s="323">
        <v>2.0568789999999999</v>
      </c>
      <c r="U141" s="186">
        <v>41671</v>
      </c>
      <c r="W141" s="323">
        <v>3.230432</v>
      </c>
      <c r="X141" s="34"/>
    </row>
    <row r="142" spans="16:24">
      <c r="P142" s="34"/>
      <c r="Q142" s="82">
        <v>37681</v>
      </c>
      <c r="S142" s="323">
        <v>1.9727330000000001</v>
      </c>
      <c r="U142" s="186">
        <v>41699</v>
      </c>
      <c r="W142" s="323">
        <v>3.2123179999999998</v>
      </c>
      <c r="X142" s="34"/>
    </row>
    <row r="143" spans="16:24">
      <c r="P143" s="34"/>
      <c r="Q143" s="82">
        <v>37712</v>
      </c>
      <c r="S143" s="323">
        <v>2.0335040000000002</v>
      </c>
      <c r="U143" s="186">
        <v>41730</v>
      </c>
      <c r="W143" s="323">
        <v>3.50841</v>
      </c>
      <c r="X143" s="34"/>
    </row>
    <row r="144" spans="16:24">
      <c r="P144" s="34"/>
      <c r="Q144" s="82">
        <v>37742</v>
      </c>
      <c r="S144" s="323">
        <v>2.173746</v>
      </c>
      <c r="U144" s="186">
        <v>41760</v>
      </c>
      <c r="W144" s="323">
        <v>3.3604280000000002</v>
      </c>
      <c r="X144" s="34"/>
    </row>
    <row r="145" spans="16:24">
      <c r="P145" s="34"/>
      <c r="Q145" s="82">
        <v>37773</v>
      </c>
      <c r="S145" s="323">
        <v>2.360735</v>
      </c>
      <c r="U145" s="186">
        <v>41791</v>
      </c>
      <c r="W145" s="323">
        <v>3.274105</v>
      </c>
      <c r="X145" s="34"/>
    </row>
    <row r="146" spans="16:24">
      <c r="P146" s="34"/>
      <c r="Q146" s="82">
        <v>37803</v>
      </c>
      <c r="S146" s="554">
        <v>2.2672400000000001</v>
      </c>
      <c r="U146" s="186">
        <v>41821</v>
      </c>
      <c r="W146" s="554">
        <v>3.415921</v>
      </c>
      <c r="X146" s="34"/>
    </row>
    <row r="147" spans="16:24">
      <c r="P147" s="34"/>
      <c r="Q147" s="82">
        <v>37834</v>
      </c>
      <c r="S147" s="323">
        <v>2.313987</v>
      </c>
      <c r="U147" s="186">
        <v>41852</v>
      </c>
      <c r="W147" s="323">
        <v>3.4220869999999999</v>
      </c>
      <c r="X147" s="34"/>
    </row>
    <row r="148" spans="16:24">
      <c r="P148" s="34"/>
      <c r="Q148" s="82">
        <v>37865</v>
      </c>
      <c r="S148" s="323">
        <v>2.337361</v>
      </c>
      <c r="U148" s="186">
        <v>41883</v>
      </c>
      <c r="W148" s="323">
        <v>3.6872220000000002</v>
      </c>
      <c r="X148" s="34"/>
    </row>
    <row r="149" spans="16:24">
      <c r="P149" s="34"/>
      <c r="Q149" s="82">
        <v>37895</v>
      </c>
      <c r="S149" s="323">
        <v>2.360735</v>
      </c>
      <c r="U149" s="186">
        <v>41913</v>
      </c>
      <c r="W149" s="323">
        <v>3.9290620000000001</v>
      </c>
      <c r="X149" s="34"/>
    </row>
    <row r="150" spans="16:24">
      <c r="P150" s="34"/>
      <c r="Q150" s="82">
        <v>37926</v>
      </c>
      <c r="S150" s="323">
        <v>2.5430489999999999</v>
      </c>
      <c r="U150" s="186">
        <v>41944</v>
      </c>
      <c r="W150" s="323">
        <v>3.884703</v>
      </c>
      <c r="X150" s="34"/>
    </row>
    <row r="151" spans="16:24">
      <c r="P151" s="34"/>
      <c r="Q151" s="82">
        <v>37956</v>
      </c>
      <c r="S151" s="323">
        <v>2.5150000000000001</v>
      </c>
      <c r="U151" s="186">
        <v>41974</v>
      </c>
      <c r="W151" s="323">
        <v>4.0431319999999999</v>
      </c>
      <c r="X151" s="34"/>
    </row>
    <row r="152" spans="16:24">
      <c r="P152" s="34"/>
      <c r="Q152" s="82">
        <v>37987</v>
      </c>
      <c r="S152" s="323">
        <v>2.5617480000000001</v>
      </c>
      <c r="U152" s="186">
        <v>42005</v>
      </c>
      <c r="W152" s="323">
        <v>4.4803980000000001</v>
      </c>
      <c r="X152" s="34"/>
    </row>
    <row r="153" spans="16:24">
      <c r="P153" s="34"/>
      <c r="Q153" s="82">
        <v>38018</v>
      </c>
      <c r="S153" s="323">
        <v>2.3560599999999998</v>
      </c>
      <c r="U153" s="186">
        <v>42036</v>
      </c>
      <c r="W153" s="323">
        <v>3.916388</v>
      </c>
      <c r="X153" s="34"/>
    </row>
    <row r="154" spans="16:24">
      <c r="P154" s="34"/>
      <c r="Q154" s="82">
        <v>38047</v>
      </c>
      <c r="S154" s="323">
        <v>2.6131700000000002</v>
      </c>
      <c r="U154" s="186">
        <v>42064</v>
      </c>
      <c r="W154" s="323">
        <v>3.789644</v>
      </c>
      <c r="X154" s="34"/>
    </row>
    <row r="155" spans="16:24">
      <c r="P155" s="34"/>
      <c r="Q155" s="82">
        <v>38078</v>
      </c>
      <c r="S155" s="323">
        <v>2.711338</v>
      </c>
      <c r="U155" s="186">
        <v>42095</v>
      </c>
      <c r="W155" s="323">
        <v>3.664758</v>
      </c>
      <c r="X155" s="34"/>
    </row>
    <row r="156" spans="16:24">
      <c r="P156" s="34"/>
      <c r="Q156" s="82">
        <v>38108</v>
      </c>
      <c r="S156" s="323">
        <v>2.6271930000000001</v>
      </c>
      <c r="U156" s="186">
        <v>42125</v>
      </c>
      <c r="W156" s="323">
        <v>3.9680049999999998</v>
      </c>
      <c r="X156" s="34"/>
    </row>
    <row r="157" spans="16:24">
      <c r="P157" s="34"/>
      <c r="Q157" s="82">
        <v>38139</v>
      </c>
      <c r="S157" s="323">
        <v>2.7393869999999998</v>
      </c>
      <c r="U157" s="186">
        <v>42156</v>
      </c>
      <c r="W157" s="323">
        <v>3.232472</v>
      </c>
      <c r="X157" s="34"/>
    </row>
    <row r="158" spans="16:24">
      <c r="P158" s="34"/>
      <c r="Q158" s="82">
        <v>38169</v>
      </c>
      <c r="S158" s="554">
        <v>2.8141820000000002</v>
      </c>
      <c r="U158" s="186">
        <v>42186</v>
      </c>
      <c r="W158" s="554">
        <v>3.4799389999999999</v>
      </c>
      <c r="X158" s="34"/>
    </row>
    <row r="159" spans="16:24">
      <c r="P159" s="34"/>
      <c r="Q159" s="82">
        <v>38200</v>
      </c>
      <c r="S159" s="323">
        <v>2.711338</v>
      </c>
      <c r="U159" s="186">
        <v>42217</v>
      </c>
      <c r="W159" s="323">
        <v>3.648663</v>
      </c>
      <c r="X159" s="34"/>
    </row>
    <row r="160" spans="16:24">
      <c r="P160" s="34"/>
      <c r="Q160" s="82">
        <v>38231</v>
      </c>
      <c r="S160" s="323">
        <v>2.8235320000000002</v>
      </c>
      <c r="U160" s="186">
        <v>42248</v>
      </c>
      <c r="W160" s="323">
        <v>3.58229</v>
      </c>
      <c r="X160" s="34"/>
    </row>
    <row r="161" spans="16:24">
      <c r="P161" s="34"/>
      <c r="Q161" s="82">
        <v>38261</v>
      </c>
      <c r="S161" s="323">
        <v>2.7908080000000002</v>
      </c>
      <c r="U161" s="186">
        <v>42278</v>
      </c>
      <c r="W161" s="323">
        <v>3.7559770000000001</v>
      </c>
      <c r="X161" s="34"/>
    </row>
    <row r="162" spans="16:24">
      <c r="P162" s="34"/>
      <c r="Q162" s="82">
        <v>38292</v>
      </c>
      <c r="S162" s="323">
        <v>2.9544250000000001</v>
      </c>
      <c r="U162" s="186">
        <v>42309</v>
      </c>
      <c r="W162" s="323">
        <v>3.6040000000000001</v>
      </c>
      <c r="X162" s="34"/>
    </row>
    <row r="163" spans="16:24">
      <c r="P163" s="34"/>
      <c r="Q163" s="82">
        <v>38322</v>
      </c>
      <c r="S163" s="323">
        <v>2.991822</v>
      </c>
      <c r="U163" s="186">
        <v>42339</v>
      </c>
      <c r="W163" s="323">
        <v>3.4303140000000001</v>
      </c>
      <c r="X163" s="34"/>
    </row>
    <row r="164" spans="16:24">
      <c r="P164" s="34"/>
      <c r="Q164" s="82">
        <v>38353</v>
      </c>
      <c r="S164" s="323">
        <v>3.0058449999999999</v>
      </c>
      <c r="U164" s="186">
        <v>42370</v>
      </c>
      <c r="W164" s="323">
        <v>3.3289970000000002</v>
      </c>
      <c r="X164" s="34"/>
    </row>
    <row r="165" spans="16:24">
      <c r="P165" s="34"/>
      <c r="Q165" s="82">
        <v>38384</v>
      </c>
      <c r="S165" s="323">
        <v>3.3190520000000001</v>
      </c>
      <c r="U165" s="186">
        <v>42401</v>
      </c>
      <c r="W165" s="323">
        <v>3.2421530000000001</v>
      </c>
      <c r="X165" s="34"/>
    </row>
    <row r="166" spans="16:24">
      <c r="P166" s="34"/>
      <c r="Q166" s="82">
        <v>38412</v>
      </c>
      <c r="S166" s="323">
        <v>3.0385689999999999</v>
      </c>
      <c r="U166" s="186">
        <v>42430</v>
      </c>
      <c r="W166" s="323">
        <v>3.7079200000000001</v>
      </c>
      <c r="X166" s="34"/>
    </row>
    <row r="167" spans="16:24">
      <c r="P167" s="34"/>
      <c r="Q167" s="82">
        <v>38443</v>
      </c>
      <c r="S167" s="323">
        <v>3.3284020000000001</v>
      </c>
      <c r="U167" s="186">
        <v>42461</v>
      </c>
      <c r="W167" s="323">
        <v>3.7672469999999998</v>
      </c>
      <c r="X167" s="34"/>
    </row>
    <row r="168" spans="16:24">
      <c r="P168" s="34"/>
      <c r="Q168" s="82">
        <v>38473</v>
      </c>
      <c r="S168" s="323">
        <v>3.2956780000000001</v>
      </c>
      <c r="U168" s="186">
        <v>42491</v>
      </c>
      <c r="W168" s="323">
        <v>3.9971380000000001</v>
      </c>
      <c r="X168" s="34"/>
    </row>
    <row r="169" spans="16:24">
      <c r="P169" s="34"/>
      <c r="Q169" s="82">
        <v>38504</v>
      </c>
      <c r="S169" s="323">
        <v>3.5995349999999999</v>
      </c>
      <c r="U169" s="186">
        <v>42522</v>
      </c>
      <c r="W169" s="323">
        <v>3.8414060000000001</v>
      </c>
      <c r="X169" s="34"/>
    </row>
    <row r="170" spans="16:24">
      <c r="P170" s="34"/>
      <c r="Q170" s="82">
        <v>38534</v>
      </c>
      <c r="S170" s="554">
        <v>3.5995349999999999</v>
      </c>
      <c r="U170" s="186">
        <v>42552</v>
      </c>
      <c r="W170" s="554">
        <v>4.0045539999999997</v>
      </c>
      <c r="X170" s="34"/>
    </row>
    <row r="171" spans="16:24">
      <c r="P171" s="34"/>
      <c r="Q171" s="82">
        <v>38565</v>
      </c>
      <c r="S171" s="323">
        <v>3.4639690000000001</v>
      </c>
      <c r="U171" s="186">
        <v>42583</v>
      </c>
      <c r="W171" s="323">
        <v>3.8562370000000001</v>
      </c>
      <c r="X171" s="34"/>
    </row>
    <row r="172" spans="16:24">
      <c r="P172" s="34"/>
      <c r="Q172" s="82">
        <v>38596</v>
      </c>
      <c r="S172" s="323">
        <v>3.5527880000000001</v>
      </c>
      <c r="U172" s="186">
        <v>42614</v>
      </c>
      <c r="W172" s="323">
        <v>3.737584</v>
      </c>
      <c r="X172" s="34"/>
    </row>
    <row r="173" spans="16:24">
      <c r="P173" s="34"/>
      <c r="Q173" s="82">
        <v>38626</v>
      </c>
      <c r="S173" s="323">
        <v>3.2255569999999998</v>
      </c>
      <c r="U173" s="186">
        <v>42644</v>
      </c>
      <c r="W173" s="323">
        <v>3.62757</v>
      </c>
      <c r="X173" s="34"/>
    </row>
    <row r="174" spans="16:24">
      <c r="P174" s="34"/>
      <c r="Q174" s="82">
        <v>38657</v>
      </c>
      <c r="S174" s="323">
        <v>3.0759660000000002</v>
      </c>
      <c r="U174" s="186">
        <v>42675</v>
      </c>
      <c r="W174" s="323">
        <v>3.589385</v>
      </c>
      <c r="X174" s="34"/>
    </row>
    <row r="175" spans="16:24">
      <c r="P175" s="34"/>
      <c r="Q175" s="82">
        <v>38687</v>
      </c>
      <c r="S175" s="323">
        <v>3.0993409999999999</v>
      </c>
      <c r="U175" s="186">
        <v>42705</v>
      </c>
      <c r="W175" s="323">
        <v>3.558837</v>
      </c>
      <c r="X175" s="34"/>
    </row>
    <row r="176" spans="16:24">
      <c r="P176" s="34"/>
      <c r="Q176" s="82">
        <v>38718</v>
      </c>
      <c r="S176" s="323">
        <v>3.0479180000000001</v>
      </c>
      <c r="U176" s="186">
        <v>42736</v>
      </c>
      <c r="W176" s="323">
        <v>3.6428430000000001</v>
      </c>
      <c r="X176" s="34"/>
    </row>
    <row r="177" spans="16:24">
      <c r="P177" s="34"/>
      <c r="Q177" s="82">
        <v>38749</v>
      </c>
      <c r="S177" s="323">
        <v>3.3611230000000001</v>
      </c>
      <c r="U177" s="186">
        <v>42767</v>
      </c>
      <c r="W177" s="323">
        <v>3.7344879999999998</v>
      </c>
      <c r="X177" s="34"/>
    </row>
    <row r="178" spans="16:24">
      <c r="P178" s="34"/>
      <c r="Q178" s="82">
        <v>38777</v>
      </c>
      <c r="S178" s="323">
        <v>3.627583</v>
      </c>
      <c r="U178" s="186">
        <v>42795</v>
      </c>
      <c r="W178" s="323">
        <v>3.9525060000000001</v>
      </c>
      <c r="X178" s="34"/>
    </row>
    <row r="179" spans="16:24">
      <c r="P179" s="34"/>
      <c r="Q179" s="82">
        <v>38808</v>
      </c>
      <c r="S179" s="323">
        <v>3.7210779999999999</v>
      </c>
      <c r="U179" s="186">
        <v>42826</v>
      </c>
      <c r="W179" s="323">
        <v>4.0696750000000002</v>
      </c>
      <c r="X179" s="34"/>
    </row>
    <row r="180" spans="16:24">
      <c r="P180" s="34"/>
      <c r="Q180" s="82">
        <v>38838</v>
      </c>
      <c r="S180" s="323">
        <v>3.6322580000000002</v>
      </c>
      <c r="U180" s="186">
        <v>42856</v>
      </c>
      <c r="W180" s="323">
        <v>4.0306199999999999</v>
      </c>
      <c r="X180" s="34"/>
    </row>
    <row r="181" spans="16:24">
      <c r="P181" s="34"/>
      <c r="Q181" s="82">
        <v>38869</v>
      </c>
      <c r="S181" s="323">
        <v>3.3284020000000001</v>
      </c>
      <c r="U181" s="186">
        <v>42887</v>
      </c>
      <c r="W181" s="323">
        <v>4.0696750000000002</v>
      </c>
      <c r="X181" s="34"/>
    </row>
    <row r="182" spans="16:24">
      <c r="P182" s="34"/>
      <c r="Q182" s="82">
        <v>38899</v>
      </c>
      <c r="S182" s="554">
        <v>3.300354</v>
      </c>
      <c r="U182" s="186">
        <v>42917</v>
      </c>
      <c r="W182" s="554">
        <v>4.1868449999999999</v>
      </c>
      <c r="X182" s="34"/>
    </row>
    <row r="183" spans="16:24">
      <c r="P183" s="34"/>
      <c r="Q183" s="82">
        <v>38930</v>
      </c>
      <c r="S183" s="323">
        <v>3.2021839999999999</v>
      </c>
      <c r="U183" s="186">
        <v>42948</v>
      </c>
      <c r="W183" s="323">
        <v>4.3579119999999998</v>
      </c>
      <c r="X183" s="34"/>
    </row>
    <row r="184" spans="16:24">
      <c r="P184" s="34"/>
      <c r="Q184" s="82">
        <v>38961</v>
      </c>
      <c r="S184" s="323">
        <v>3.342425</v>
      </c>
      <c r="U184" s="186">
        <v>42979</v>
      </c>
      <c r="W184" s="323">
        <v>4.4153209999999996</v>
      </c>
      <c r="X184" s="34"/>
    </row>
    <row r="185" spans="16:24">
      <c r="P185" s="34"/>
      <c r="Q185" s="82">
        <v>38991</v>
      </c>
      <c r="S185" s="323">
        <v>3.4826679999999999</v>
      </c>
      <c r="U185" s="186">
        <v>43009</v>
      </c>
      <c r="W185" s="323">
        <v>4.6160180000000004</v>
      </c>
      <c r="X185" s="34"/>
    </row>
    <row r="186" spans="16:24">
      <c r="P186" s="34"/>
      <c r="Q186" s="82">
        <v>39022</v>
      </c>
      <c r="S186" s="323">
        <v>3.636933</v>
      </c>
      <c r="U186" s="186">
        <v>43040</v>
      </c>
      <c r="W186" s="323">
        <v>4.3350419999999996</v>
      </c>
      <c r="X186" s="34"/>
    </row>
    <row r="187" spans="16:24">
      <c r="P187" s="34"/>
      <c r="Q187" s="82">
        <v>39052</v>
      </c>
      <c r="S187" s="323">
        <v>3.8893680000000002</v>
      </c>
      <c r="U187" s="186">
        <v>43070</v>
      </c>
      <c r="W187" s="323">
        <v>4.463489</v>
      </c>
      <c r="X187" s="34"/>
    </row>
    <row r="188" spans="16:24">
      <c r="P188" s="34"/>
      <c r="Q188" s="82">
        <v>39083</v>
      </c>
      <c r="S188" s="323">
        <v>4.0296089999999998</v>
      </c>
      <c r="U188" s="186">
        <v>43101</v>
      </c>
      <c r="W188" s="323">
        <v>4.4875720000000001</v>
      </c>
      <c r="X188" s="34"/>
    </row>
    <row r="189" spans="16:24">
      <c r="P189" s="34"/>
      <c r="Q189" s="82">
        <v>39114</v>
      </c>
      <c r="S189" s="323">
        <v>4.1418039999999996</v>
      </c>
      <c r="U189" s="186">
        <v>43132</v>
      </c>
      <c r="W189" s="323">
        <v>4.2387079999999999</v>
      </c>
      <c r="X189" s="34"/>
    </row>
    <row r="190" spans="16:24">
      <c r="P190" s="34"/>
      <c r="Q190" s="82">
        <v>39142</v>
      </c>
      <c r="S190" s="323">
        <v>4.3054180000000004</v>
      </c>
      <c r="U190" s="186">
        <v>43160</v>
      </c>
      <c r="W190" s="323">
        <v>4.2146249999999998</v>
      </c>
      <c r="X190" s="34"/>
    </row>
    <row r="191" spans="16:24">
      <c r="P191" s="34"/>
      <c r="Q191" s="82">
        <v>39173</v>
      </c>
      <c r="S191" s="323">
        <v>4.2586719999999998</v>
      </c>
      <c r="U191" s="186">
        <v>43191</v>
      </c>
      <c r="W191" s="323">
        <v>4.426342</v>
      </c>
      <c r="X191" s="34"/>
    </row>
    <row r="192" spans="16:24">
      <c r="P192" s="34"/>
      <c r="Q192" s="82">
        <v>39203</v>
      </c>
      <c r="S192" s="323">
        <v>4.1371289999999998</v>
      </c>
      <c r="U192" s="186">
        <v>43221</v>
      </c>
      <c r="W192" s="323">
        <v>4.7389840000000003</v>
      </c>
      <c r="X192" s="34"/>
    </row>
    <row r="193" spans="16:24">
      <c r="P193" s="34"/>
      <c r="Q193" s="82">
        <v>39234</v>
      </c>
      <c r="S193" s="323">
        <v>4.2119239999999998</v>
      </c>
      <c r="U193" s="186">
        <v>43252</v>
      </c>
      <c r="W193" s="323">
        <v>4.8130300000000004</v>
      </c>
      <c r="X193" s="34"/>
    </row>
    <row r="194" spans="16:24">
      <c r="P194" s="34"/>
      <c r="Q194" s="82">
        <v>39264</v>
      </c>
      <c r="S194" s="554">
        <v>4.3241180000000004</v>
      </c>
      <c r="U194" s="186">
        <v>43282</v>
      </c>
      <c r="W194" s="554">
        <v>4.755439</v>
      </c>
      <c r="X194" s="34"/>
    </row>
    <row r="195" spans="16:24">
      <c r="P195" s="34"/>
      <c r="Q195" s="82">
        <v>39295</v>
      </c>
      <c r="S195" s="323">
        <v>4.2773700000000003</v>
      </c>
      <c r="U195" s="186">
        <v>43313</v>
      </c>
      <c r="W195" s="323">
        <v>4.5662070000000003</v>
      </c>
      <c r="X195" s="34"/>
    </row>
    <row r="196" spans="16:24">
      <c r="P196" s="34"/>
      <c r="Q196" s="82">
        <v>39326</v>
      </c>
      <c r="S196" s="323">
        <v>4.2960690000000001</v>
      </c>
      <c r="U196" s="186">
        <v>43344</v>
      </c>
      <c r="W196" s="323">
        <v>4.9596080000000002</v>
      </c>
      <c r="X196" s="34"/>
    </row>
    <row r="197" spans="16:24">
      <c r="P197" s="34"/>
      <c r="Q197" s="82">
        <v>39356</v>
      </c>
      <c r="S197" s="323">
        <v>4.2352980000000002</v>
      </c>
      <c r="U197" s="186">
        <v>43374</v>
      </c>
      <c r="W197" s="323">
        <v>4.7554379999999998</v>
      </c>
      <c r="X197" s="34"/>
    </row>
    <row r="198" spans="16:24">
      <c r="P198" s="34"/>
      <c r="Q198" s="82">
        <v>39387</v>
      </c>
      <c r="S198" s="323">
        <v>4.0670089999999997</v>
      </c>
      <c r="U198" s="186">
        <v>43405</v>
      </c>
      <c r="W198" s="323">
        <v>4.9936350000000003</v>
      </c>
      <c r="X198" s="34"/>
    </row>
    <row r="199" spans="16:24">
      <c r="P199" s="34"/>
      <c r="Q199" s="82">
        <v>39417</v>
      </c>
      <c r="S199" s="323">
        <v>3.8519709999999998</v>
      </c>
      <c r="U199" s="186">
        <v>43435</v>
      </c>
      <c r="W199" s="323">
        <v>5.0191559999999997</v>
      </c>
      <c r="X199" s="34"/>
    </row>
    <row r="200" spans="16:24">
      <c r="P200" s="34"/>
      <c r="Q200" s="82">
        <v>39448</v>
      </c>
      <c r="S200" s="323">
        <v>3.562138</v>
      </c>
      <c r="U200" s="186">
        <v>43466</v>
      </c>
      <c r="W200" s="323">
        <v>5.138255</v>
      </c>
      <c r="X200" s="34"/>
    </row>
    <row r="201" spans="16:24">
      <c r="P201" s="34"/>
      <c r="Q201" s="82">
        <v>39479</v>
      </c>
      <c r="S201" s="323">
        <v>3.6883550000000001</v>
      </c>
      <c r="U201" s="186">
        <v>43497</v>
      </c>
      <c r="W201" s="323">
        <v>5.3849590000000003</v>
      </c>
      <c r="X201" s="34"/>
    </row>
    <row r="202" spans="16:24">
      <c r="P202" s="34"/>
      <c r="Q202" s="82">
        <v>39508</v>
      </c>
      <c r="S202" s="323">
        <v>3.7351030000000001</v>
      </c>
      <c r="U202" s="186">
        <v>43525</v>
      </c>
      <c r="W202" s="323">
        <v>5.9038890000000004</v>
      </c>
      <c r="X202" s="34"/>
    </row>
    <row r="203" spans="16:24">
      <c r="P203" s="34"/>
      <c r="Q203" s="82">
        <v>39539</v>
      </c>
      <c r="S203" s="323">
        <v>4.5344810000000004</v>
      </c>
      <c r="U203" s="186">
        <v>43556</v>
      </c>
      <c r="W203" s="323">
        <v>5.852284</v>
      </c>
      <c r="X203" s="34"/>
    </row>
    <row r="204" spans="16:24">
      <c r="P204" s="34"/>
      <c r="Q204" s="82">
        <v>39569</v>
      </c>
      <c r="S204" s="323">
        <v>4.4316360000000001</v>
      </c>
      <c r="U204" s="186">
        <v>43586</v>
      </c>
      <c r="W204" s="323">
        <v>6.4279169999999999</v>
      </c>
      <c r="X204" s="34"/>
    </row>
    <row r="205" spans="16:24">
      <c r="P205" s="34"/>
      <c r="Q205" s="82">
        <v>39600</v>
      </c>
      <c r="S205" s="323">
        <v>3.7351030000000001</v>
      </c>
      <c r="U205" s="186">
        <v>43617</v>
      </c>
      <c r="W205" s="323">
        <v>6.9773870000000002</v>
      </c>
      <c r="X205" s="34"/>
    </row>
    <row r="206" spans="16:24">
      <c r="P206" s="34"/>
      <c r="Q206" s="82">
        <v>39630</v>
      </c>
      <c r="S206" s="554">
        <v>3.9267650000000001</v>
      </c>
      <c r="U206" s="186">
        <v>43647</v>
      </c>
      <c r="W206" s="554">
        <v>6.7942309999999999</v>
      </c>
      <c r="X206" s="34"/>
    </row>
    <row r="207" spans="16:24">
      <c r="P207" s="34"/>
      <c r="Q207" s="82">
        <v>39661</v>
      </c>
      <c r="S207" s="323">
        <v>3.908067</v>
      </c>
      <c r="U207" s="186">
        <v>43678</v>
      </c>
      <c r="W207" s="323">
        <v>7.3088129999999998</v>
      </c>
      <c r="X207" s="34"/>
    </row>
    <row r="208" spans="16:24">
      <c r="P208" s="34"/>
      <c r="Q208" s="82">
        <v>39692</v>
      </c>
      <c r="S208" s="323">
        <v>3.6556329999999999</v>
      </c>
      <c r="U208" s="186">
        <v>43709</v>
      </c>
      <c r="W208" s="323">
        <v>7.6560119999999996</v>
      </c>
      <c r="X208" s="34"/>
    </row>
    <row r="209" spans="16:24">
      <c r="P209" s="34"/>
      <c r="Q209" s="82">
        <v>39722</v>
      </c>
      <c r="S209" s="323">
        <v>3.389173</v>
      </c>
      <c r="U209" s="186">
        <v>43739</v>
      </c>
      <c r="W209" s="323">
        <v>6.616085</v>
      </c>
      <c r="X209" s="34"/>
    </row>
    <row r="210" spans="16:24">
      <c r="P210" s="34"/>
      <c r="Q210" s="82">
        <v>39753</v>
      </c>
      <c r="S210" s="323">
        <v>3.155437</v>
      </c>
      <c r="U210" s="186">
        <v>43770</v>
      </c>
      <c r="W210" s="323">
        <v>6.4278230000000001</v>
      </c>
      <c r="X210" s="34"/>
    </row>
    <row r="211" spans="16:24">
      <c r="P211" s="34"/>
      <c r="Q211" s="82">
        <v>39783</v>
      </c>
      <c r="S211" s="323">
        <v>3.426571</v>
      </c>
      <c r="U211" s="186">
        <v>43800</v>
      </c>
      <c r="W211" s="323">
        <v>6.3919629999999996</v>
      </c>
      <c r="X211" s="34"/>
    </row>
    <row r="212" spans="16:24">
      <c r="P212" s="34"/>
      <c r="Q212" s="82">
        <v>39814</v>
      </c>
      <c r="S212" s="323">
        <v>3.2115339999999999</v>
      </c>
      <c r="U212" s="186">
        <v>43831</v>
      </c>
      <c r="W212" s="323">
        <v>6.6698750000000002</v>
      </c>
      <c r="X212" s="34"/>
    </row>
    <row r="213" spans="16:24">
      <c r="P213" s="34"/>
      <c r="Q213" s="82">
        <v>39845</v>
      </c>
      <c r="S213" s="323">
        <v>2.7814589999999999</v>
      </c>
      <c r="U213" s="186">
        <v>43862</v>
      </c>
      <c r="W213" s="323">
        <v>6.0064729999999997</v>
      </c>
      <c r="X213" s="34"/>
    </row>
    <row r="214" spans="16:24">
      <c r="P214" s="34"/>
      <c r="Q214" s="82">
        <v>39873</v>
      </c>
      <c r="S214" s="323">
        <v>2.67394</v>
      </c>
      <c r="U214" s="186">
        <v>43891</v>
      </c>
      <c r="W214" s="323">
        <v>5.1637740000000001</v>
      </c>
      <c r="X214" s="34"/>
    </row>
    <row r="215" spans="16:24">
      <c r="P215" s="34"/>
      <c r="Q215" s="82">
        <v>39904</v>
      </c>
      <c r="S215" s="323">
        <v>2.7179799999999998</v>
      </c>
      <c r="U215" s="186">
        <v>43922</v>
      </c>
      <c r="W215" s="323">
        <v>5.7952779999999997</v>
      </c>
      <c r="X215" s="34"/>
    </row>
    <row r="216" spans="16:24">
      <c r="P216" s="34"/>
      <c r="Q216" s="82">
        <v>39934</v>
      </c>
      <c r="S216" s="323">
        <v>2.7275170000000002</v>
      </c>
      <c r="U216" s="186">
        <v>43952</v>
      </c>
      <c r="W216" s="323">
        <v>5.7215699999999998</v>
      </c>
      <c r="X216" s="34"/>
    </row>
    <row r="217" spans="16:24">
      <c r="P217" s="34"/>
      <c r="Q217" s="82">
        <v>39965</v>
      </c>
      <c r="S217" s="323">
        <v>2.7895050000000001</v>
      </c>
      <c r="U217" s="186">
        <v>43983</v>
      </c>
      <c r="W217" s="323">
        <v>5.7676369999999997</v>
      </c>
      <c r="X217" s="34"/>
    </row>
    <row r="218" spans="16:24">
      <c r="P218" s="34"/>
      <c r="Q218" s="82">
        <v>39995</v>
      </c>
      <c r="S218" s="554">
        <v>3.0040840000000002</v>
      </c>
      <c r="U218" s="186">
        <v>44013</v>
      </c>
      <c r="W218" s="554">
        <v>5.3806719999999997</v>
      </c>
      <c r="X218" s="34"/>
    </row>
    <row r="219" spans="16:24">
      <c r="P219" s="34"/>
      <c r="Q219" s="82">
        <v>40026</v>
      </c>
      <c r="S219" s="323">
        <v>2.9802409999999999</v>
      </c>
      <c r="U219" s="186">
        <v>44044</v>
      </c>
      <c r="W219" s="323">
        <v>5.7584239999999998</v>
      </c>
      <c r="X219" s="34"/>
    </row>
    <row r="220" spans="16:24">
      <c r="P220" s="34"/>
      <c r="Q220" s="82">
        <v>40057</v>
      </c>
      <c r="S220" s="323">
        <v>2.8215370000000002</v>
      </c>
      <c r="U220" s="186">
        <v>44075</v>
      </c>
      <c r="W220" s="323">
        <v>6.3531589999999998</v>
      </c>
      <c r="X220" s="34"/>
    </row>
    <row r="221" spans="16:24">
      <c r="P221" s="34"/>
      <c r="Q221" s="82">
        <v>40087</v>
      </c>
      <c r="S221" s="323">
        <v>3.066462</v>
      </c>
      <c r="U221" s="186">
        <v>44105</v>
      </c>
      <c r="W221" s="323">
        <v>7.0505740000000001</v>
      </c>
      <c r="X221" s="34"/>
    </row>
    <row r="222" spans="16:24">
      <c r="P222" s="34"/>
      <c r="Q222" s="82">
        <v>40118</v>
      </c>
      <c r="S222" s="323">
        <v>2.8705219999999998</v>
      </c>
      <c r="U222" s="186">
        <v>44136</v>
      </c>
      <c r="W222" s="323">
        <v>7.4518259999999996</v>
      </c>
      <c r="X222" s="34"/>
    </row>
    <row r="223" spans="16:24">
      <c r="P223" s="34"/>
      <c r="Q223" s="82">
        <v>40148</v>
      </c>
      <c r="S223" s="323">
        <v>3.0125799999999998</v>
      </c>
      <c r="U223" s="186">
        <v>44166</v>
      </c>
      <c r="W223" s="323">
        <v>8.5122780000000002</v>
      </c>
      <c r="X223" s="34"/>
    </row>
    <row r="224" spans="16:24">
      <c r="P224" s="34"/>
      <c r="Q224" s="82">
        <v>40179</v>
      </c>
      <c r="S224" s="323">
        <v>2.8411309999999999</v>
      </c>
      <c r="U224" s="186">
        <v>44197</v>
      </c>
      <c r="W224" s="323">
        <v>7.8053100000000004</v>
      </c>
      <c r="X224" s="34"/>
    </row>
    <row r="225" spans="16:24">
      <c r="P225" s="34"/>
      <c r="Q225" s="82">
        <v>40210</v>
      </c>
      <c r="S225" s="323">
        <v>2.997884</v>
      </c>
      <c r="U225" s="186">
        <v>44228</v>
      </c>
      <c r="W225" s="323">
        <v>6.5346780000000004</v>
      </c>
      <c r="X225" s="34"/>
    </row>
    <row r="226" spans="16:24">
      <c r="P226" s="34"/>
      <c r="Q226" s="82">
        <v>40238</v>
      </c>
      <c r="S226" s="323">
        <v>3.1350410000000002</v>
      </c>
      <c r="U226" s="186">
        <v>44256</v>
      </c>
      <c r="W226" s="323">
        <v>6.6970900000000002</v>
      </c>
    </row>
    <row r="227" spans="16:24">
      <c r="P227" s="34"/>
      <c r="Q227" s="82">
        <v>40269</v>
      </c>
      <c r="S227" s="323">
        <v>3.1173199999999999</v>
      </c>
      <c r="U227" s="186">
        <v>44287</v>
      </c>
      <c r="W227" s="323">
        <v>7.3485360000000002</v>
      </c>
    </row>
    <row r="228" spans="16:24">
      <c r="P228" s="34"/>
      <c r="Q228" s="82">
        <v>40299</v>
      </c>
      <c r="S228" s="323">
        <v>2.9277880000000001</v>
      </c>
      <c r="U228" s="186">
        <v>44317</v>
      </c>
      <c r="W228" s="323">
        <v>7.6799030000000004</v>
      </c>
    </row>
    <row r="229" spans="16:24">
      <c r="P229" s="34"/>
      <c r="Q229" s="82">
        <v>40330</v>
      </c>
      <c r="S229" s="323">
        <v>2.838009</v>
      </c>
      <c r="U229" s="186">
        <v>44348</v>
      </c>
      <c r="W229" s="323">
        <v>8.0697460000000003</v>
      </c>
    </row>
    <row r="230" spans="16:24">
      <c r="P230" s="34"/>
      <c r="Q230" s="82">
        <v>40360</v>
      </c>
      <c r="S230" s="554">
        <v>2.842997</v>
      </c>
      <c r="U230" s="186">
        <v>44378</v>
      </c>
      <c r="W230" s="554">
        <v>7.9527929999999998</v>
      </c>
    </row>
    <row r="231" spans="16:24">
      <c r="P231" s="34"/>
      <c r="Q231" s="82">
        <v>40391</v>
      </c>
      <c r="S231" s="323">
        <v>2.828033</v>
      </c>
      <c r="U231" s="186">
        <v>44409</v>
      </c>
      <c r="W231" s="323">
        <v>7.943047</v>
      </c>
    </row>
    <row r="232" spans="16:24">
      <c r="P232" s="34"/>
      <c r="Q232" s="82">
        <v>40422</v>
      </c>
      <c r="S232" s="323">
        <v>2.8922680000000001</v>
      </c>
      <c r="U232" s="186">
        <v>44440</v>
      </c>
      <c r="W232" s="323">
        <v>8.4499999999999993</v>
      </c>
    </row>
    <row r="233" spans="16:24">
      <c r="P233" s="34"/>
      <c r="Q233" s="82">
        <v>40452</v>
      </c>
      <c r="S233" s="323">
        <v>3.0650369999999998</v>
      </c>
      <c r="U233" s="186">
        <v>44470</v>
      </c>
      <c r="W233" s="323">
        <v>8.18</v>
      </c>
    </row>
    <row r="234" spans="16:24">
      <c r="P234" s="34"/>
      <c r="Q234" s="82">
        <v>40483</v>
      </c>
      <c r="S234" s="323">
        <v>3.1069520000000002</v>
      </c>
      <c r="U234" s="186">
        <v>44501</v>
      </c>
      <c r="W234" s="323">
        <v>7.85</v>
      </c>
    </row>
    <row r="235" spans="16:24">
      <c r="P235" s="34"/>
      <c r="Q235" s="82">
        <v>40513</v>
      </c>
      <c r="S235" s="323">
        <v>3.2641339999999999</v>
      </c>
      <c r="U235" s="186">
        <v>44531</v>
      </c>
      <c r="W235" s="28"/>
    </row>
    <row r="236" spans="16:24">
      <c r="P236" s="34"/>
      <c r="Q236" s="82">
        <v>40544</v>
      </c>
      <c r="S236" s="323">
        <v>3.2222189999999999</v>
      </c>
    </row>
  </sheetData>
  <mergeCells count="3">
    <mergeCell ref="W1:AA1"/>
    <mergeCell ref="Q94:S94"/>
    <mergeCell ref="W94:AA9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4182-8EE0-42C4-A987-1C1EA2B35691}">
  <sheetPr>
    <tabColor theme="0" tint="-0.499984740745262"/>
    <pageSetUpPr fitToPage="1"/>
  </sheetPr>
  <dimension ref="A1:AB75"/>
  <sheetViews>
    <sheetView workbookViewId="0"/>
  </sheetViews>
  <sheetFormatPr defaultRowHeight="12.75"/>
  <sheetData>
    <row r="1" spans="1:27" ht="15.75">
      <c r="A1" s="710" t="s">
        <v>193</v>
      </c>
      <c r="B1" s="710"/>
      <c r="C1" s="710"/>
      <c r="D1" s="1015"/>
      <c r="E1" s="966" t="e">
        <f>#REF!</f>
        <v>#REF!</v>
      </c>
      <c r="F1" s="1618" t="e">
        <f>#REF!</f>
        <v>#REF!</v>
      </c>
      <c r="G1" s="1618"/>
      <c r="H1" s="717"/>
      <c r="I1" s="1620" t="s">
        <v>428</v>
      </c>
      <c r="J1" s="1620"/>
      <c r="K1" s="1620"/>
      <c r="L1" s="1621">
        <f ca="1">NOW()</f>
        <v>44595.448909606479</v>
      </c>
      <c r="M1" s="1621"/>
      <c r="N1" s="1621"/>
      <c r="O1" s="718"/>
      <c r="P1" s="1617">
        <f ca="1">NOW()</f>
        <v>44595.448909606479</v>
      </c>
      <c r="Q1" s="1617"/>
      <c r="R1" s="1617"/>
      <c r="S1" s="946"/>
      <c r="T1" s="946"/>
      <c r="U1" s="946"/>
      <c r="V1" s="946"/>
      <c r="W1" s="946"/>
      <c r="X1" s="946"/>
      <c r="Y1" s="718"/>
      <c r="Z1" s="946"/>
      <c r="AA1" s="962" t="s">
        <v>429</v>
      </c>
    </row>
    <row r="2" spans="1:27">
      <c r="A2" s="607" t="s">
        <v>430</v>
      </c>
      <c r="B2" s="747"/>
      <c r="C2" s="748"/>
      <c r="D2" s="749"/>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row>
    <row r="3" spans="1:27">
      <c r="A3" s="720" t="s">
        <v>18</v>
      </c>
      <c r="B3" s="745"/>
      <c r="C3" s="753"/>
      <c r="D3" s="753"/>
      <c r="E3" s="46" t="s">
        <v>44</v>
      </c>
      <c r="F3" s="740">
        <v>1999</v>
      </c>
      <c r="G3" s="740">
        <f t="shared" si="0"/>
        <v>2000</v>
      </c>
      <c r="H3" s="740">
        <f t="shared" si="0"/>
        <v>2001</v>
      </c>
      <c r="I3" s="740">
        <f t="shared" si="0"/>
        <v>2002</v>
      </c>
      <c r="J3" s="740">
        <f t="shared" si="0"/>
        <v>2003</v>
      </c>
      <c r="K3" s="740">
        <f t="shared" si="0"/>
        <v>2004</v>
      </c>
      <c r="L3" s="740">
        <f t="shared" si="0"/>
        <v>2005</v>
      </c>
      <c r="M3" s="740">
        <f t="shared" si="0"/>
        <v>2006</v>
      </c>
      <c r="N3" s="740">
        <v>2007</v>
      </c>
      <c r="O3" s="740">
        <f t="shared" si="0"/>
        <v>2008</v>
      </c>
      <c r="P3" s="740">
        <f t="shared" si="0"/>
        <v>2009</v>
      </c>
      <c r="Q3" s="740">
        <f t="shared" si="0"/>
        <v>2010</v>
      </c>
      <c r="R3" s="740">
        <f t="shared" si="0"/>
        <v>2011</v>
      </c>
      <c r="S3" s="740">
        <f t="shared" si="0"/>
        <v>2012</v>
      </c>
      <c r="T3" s="740">
        <f t="shared" si="0"/>
        <v>2013</v>
      </c>
      <c r="U3" s="740">
        <f t="shared" si="0"/>
        <v>2014</v>
      </c>
      <c r="V3" s="740">
        <f t="shared" si="0"/>
        <v>2015</v>
      </c>
      <c r="W3" s="740">
        <f t="shared" si="1"/>
        <v>2016</v>
      </c>
      <c r="X3" s="740">
        <f t="shared" si="1"/>
        <v>2017</v>
      </c>
      <c r="Y3" s="740">
        <f t="shared" si="1"/>
        <v>2018</v>
      </c>
      <c r="Z3" s="740">
        <f t="shared" si="1"/>
        <v>2019</v>
      </c>
      <c r="AA3" s="740">
        <f t="shared" si="1"/>
        <v>2020</v>
      </c>
    </row>
    <row r="4" spans="1:27">
      <c r="A4" s="46" t="s">
        <v>319</v>
      </c>
      <c r="B4" s="46" t="s">
        <v>320</v>
      </c>
      <c r="C4" s="750"/>
      <c r="D4" s="750"/>
      <c r="E4" s="458"/>
      <c r="F4" s="46" t="s">
        <v>46</v>
      </c>
      <c r="G4" s="34"/>
      <c r="H4" s="34"/>
      <c r="I4" s="631"/>
      <c r="J4" s="631"/>
      <c r="K4" s="631"/>
      <c r="L4" s="699" t="s">
        <v>103</v>
      </c>
      <c r="M4" s="700" t="s">
        <v>104</v>
      </c>
      <c r="N4" s="700" t="s">
        <v>105</v>
      </c>
      <c r="O4" s="700" t="s">
        <v>105</v>
      </c>
      <c r="P4" s="713"/>
      <c r="Q4" s="713"/>
      <c r="R4" s="713"/>
      <c r="S4" s="713"/>
      <c r="T4" s="713" t="s">
        <v>106</v>
      </c>
      <c r="U4" s="713"/>
      <c r="V4" s="713" t="s">
        <v>107</v>
      </c>
      <c r="W4" s="713"/>
      <c r="X4" s="713" t="s">
        <v>108</v>
      </c>
      <c r="Y4" s="713"/>
      <c r="Z4" s="713"/>
      <c r="AA4" s="714"/>
    </row>
    <row r="5" spans="1:27">
      <c r="A5" s="784">
        <v>1010</v>
      </c>
      <c r="B5" s="784"/>
      <c r="C5" s="784" t="s">
        <v>133</v>
      </c>
      <c r="D5" s="784"/>
      <c r="E5" s="784"/>
      <c r="F5" s="762">
        <f>'4_Fin-Stat'!F5</f>
        <v>93759</v>
      </c>
      <c r="G5" s="762">
        <f>'4_Fin-Stat'!G5</f>
        <v>33562</v>
      </c>
      <c r="H5" s="762">
        <f>'4_Fin-Stat'!H5</f>
        <v>52829</v>
      </c>
      <c r="I5" s="762">
        <f>'4_Fin-Stat'!I5</f>
        <v>9962</v>
      </c>
      <c r="J5" s="762">
        <f>'4_Fin-Stat'!J5</f>
        <v>55337</v>
      </c>
      <c r="K5" s="762">
        <f>'4_Fin-Stat'!K5</f>
        <v>104262</v>
      </c>
      <c r="L5" s="762">
        <f>'4_Fin-Stat'!L5</f>
        <v>40827</v>
      </c>
      <c r="M5" s="762">
        <f>'4_Fin-Stat'!M5</f>
        <v>251824</v>
      </c>
      <c r="N5" s="762">
        <f>'4_Fin-Stat'!N5</f>
        <v>44755</v>
      </c>
      <c r="O5" s="762">
        <f>'4_Fin-Stat'!O5</f>
        <v>71742</v>
      </c>
      <c r="P5" s="762">
        <f>'4_Fin-Stat'!P5</f>
        <v>47877</v>
      </c>
      <c r="Q5" s="762">
        <f>'4_Fin-Stat'!Q5</f>
        <v>54394</v>
      </c>
      <c r="R5" s="762">
        <f>'4_Fin-Stat'!R5</f>
        <v>47267</v>
      </c>
      <c r="S5" s="762">
        <f>214400-S6</f>
        <v>214400</v>
      </c>
      <c r="T5" s="762">
        <f>382800-T6</f>
        <v>379800</v>
      </c>
      <c r="U5" s="762">
        <f>276000-U6</f>
        <v>270000</v>
      </c>
      <c r="V5" s="762">
        <f>69000-V6</f>
        <v>65000</v>
      </c>
      <c r="W5" s="762">
        <f>118000-W6</f>
        <v>115000</v>
      </c>
      <c r="X5" s="762">
        <f>80000-X6</f>
        <v>74000</v>
      </c>
      <c r="Y5" s="762">
        <f>60000-Y6</f>
        <v>57000</v>
      </c>
      <c r="Z5" s="762">
        <f>78000-Z6</f>
        <v>61000</v>
      </c>
      <c r="AA5" s="762">
        <f>176000-AA6</f>
        <v>132000</v>
      </c>
    </row>
    <row r="6" spans="1:27">
      <c r="A6" s="784"/>
      <c r="B6" s="784"/>
      <c r="C6" s="784" t="s">
        <v>134</v>
      </c>
      <c r="D6" s="784"/>
      <c r="E6" s="784"/>
      <c r="F6" s="762"/>
      <c r="G6" s="762"/>
      <c r="H6" s="762"/>
      <c r="I6" s="762"/>
      <c r="J6" s="762"/>
      <c r="K6" s="762"/>
      <c r="L6" s="762"/>
      <c r="M6" s="762"/>
      <c r="N6" s="762"/>
      <c r="O6" s="762"/>
      <c r="P6" s="762"/>
      <c r="Q6" s="762"/>
      <c r="R6" s="762"/>
      <c r="S6" s="762">
        <f>'4_Fin-Stat'!S6</f>
        <v>0</v>
      </c>
      <c r="T6" s="762">
        <f>'4_Fin-Stat'!T6</f>
        <v>3000</v>
      </c>
      <c r="U6" s="762">
        <f>'4_Fin-Stat'!U6</f>
        <v>6000</v>
      </c>
      <c r="V6" s="762">
        <f>'4_Fin-Stat'!V6</f>
        <v>4000</v>
      </c>
      <c r="W6" s="762">
        <f>'4_Fin-Stat'!W6</f>
        <v>3000</v>
      </c>
      <c r="X6" s="762">
        <f>'4_Fin-Stat'!X6</f>
        <v>6000</v>
      </c>
      <c r="Y6" s="762">
        <f>'4_Fin-Stat'!Y6</f>
        <v>3000</v>
      </c>
      <c r="Z6" s="762">
        <f>'4_Fin-Stat'!Z6</f>
        <v>17000</v>
      </c>
      <c r="AA6" s="762">
        <f>'4_Fin-Stat'!AA6</f>
        <v>44000</v>
      </c>
    </row>
    <row r="7" spans="1:27">
      <c r="A7" s="784">
        <v>1020</v>
      </c>
      <c r="B7" s="784"/>
      <c r="C7" s="784" t="s">
        <v>147</v>
      </c>
      <c r="D7" s="784"/>
      <c r="E7" s="784"/>
      <c r="F7" s="762" t="e">
        <f>'4_Fin-Stat'!#REF!</f>
        <v>#REF!</v>
      </c>
      <c r="G7" s="762" t="e">
        <f>'4_Fin-Stat'!#REF!</f>
        <v>#REF!</v>
      </c>
      <c r="H7" s="762" t="e">
        <f>'4_Fin-Stat'!#REF!</f>
        <v>#REF!</v>
      </c>
      <c r="I7" s="762" t="e">
        <f>'4_Fin-Stat'!#REF!</f>
        <v>#REF!</v>
      </c>
      <c r="J7" s="762" t="e">
        <f>'4_Fin-Stat'!#REF!</f>
        <v>#REF!</v>
      </c>
      <c r="K7" s="762" t="e">
        <f>'4_Fin-Stat'!#REF!</f>
        <v>#REF!</v>
      </c>
      <c r="L7" s="762" t="e">
        <f>'4_Fin-Stat'!#REF!</f>
        <v>#REF!</v>
      </c>
      <c r="M7" s="762" t="e">
        <f>'4_Fin-Stat'!#REF!</f>
        <v>#REF!</v>
      </c>
      <c r="N7" s="762" t="e">
        <f>'4_Fin-Stat'!#REF!</f>
        <v>#REF!</v>
      </c>
      <c r="O7" s="762" t="e">
        <f>'4_Fin-Stat'!#REF!</f>
        <v>#REF!</v>
      </c>
      <c r="P7" s="762" t="e">
        <f>'4_Fin-Stat'!#REF!</f>
        <v>#REF!</v>
      </c>
      <c r="Q7" s="762" t="e">
        <f>'4_Fin-Stat'!#REF!</f>
        <v>#REF!</v>
      </c>
      <c r="R7" s="762" t="e">
        <f>'4_Fin-Stat'!#REF!</f>
        <v>#REF!</v>
      </c>
      <c r="S7" s="762" t="e">
        <f>'4_Fin-Stat'!#REF!</f>
        <v>#REF!</v>
      </c>
      <c r="T7" s="762" t="e">
        <f>'4_Fin-Stat'!#REF!</f>
        <v>#REF!</v>
      </c>
      <c r="U7" s="762" t="e">
        <f>'4_Fin-Stat'!#REF!</f>
        <v>#REF!</v>
      </c>
      <c r="V7" s="762" t="e">
        <f>'4_Fin-Stat'!#REF!</f>
        <v>#REF!</v>
      </c>
      <c r="W7" s="762" t="e">
        <f>'4_Fin-Stat'!#REF!</f>
        <v>#REF!</v>
      </c>
      <c r="X7" s="762" t="e">
        <f>'4_Fin-Stat'!#REF!</f>
        <v>#REF!</v>
      </c>
      <c r="Y7" s="762" t="e">
        <f>'4_Fin-Stat'!#REF!</f>
        <v>#REF!</v>
      </c>
      <c r="Z7" s="762" t="e">
        <f>'4_Fin-Stat'!#REF!</f>
        <v>#REF!</v>
      </c>
      <c r="AA7" s="762" t="e">
        <f>'4_Fin-Stat'!#REF!</f>
        <v>#REF!</v>
      </c>
    </row>
    <row r="8" spans="1:27">
      <c r="A8" s="784">
        <v>1820</v>
      </c>
      <c r="B8" s="784"/>
      <c r="C8" s="784" t="s">
        <v>153</v>
      </c>
      <c r="D8" s="784"/>
      <c r="E8" s="784"/>
      <c r="F8" s="762">
        <f>'4_Fin-Stat'!F22</f>
        <v>0</v>
      </c>
      <c r="G8" s="762">
        <f>'4_Fin-Stat'!G22</f>
        <v>0</v>
      </c>
      <c r="H8" s="762">
        <f>'4_Fin-Stat'!H22</f>
        <v>0</v>
      </c>
      <c r="I8" s="762">
        <f>'4_Fin-Stat'!I22</f>
        <v>0</v>
      </c>
      <c r="J8" s="762">
        <f>'4_Fin-Stat'!J22</f>
        <v>0</v>
      </c>
      <c r="K8" s="762">
        <f>'4_Fin-Stat'!K22</f>
        <v>0</v>
      </c>
      <c r="L8" s="762">
        <f>'4_Fin-Stat'!L22</f>
        <v>0</v>
      </c>
      <c r="M8" s="762">
        <f>'4_Fin-Stat'!M22</f>
        <v>0</v>
      </c>
      <c r="N8" s="762">
        <f>'4_Fin-Stat'!N22</f>
        <v>16567</v>
      </c>
      <c r="O8" s="762">
        <f>'4_Fin-Stat'!O22</f>
        <v>11780</v>
      </c>
      <c r="P8" s="762">
        <f>'4_Fin-Stat'!P22</f>
        <v>6993</v>
      </c>
      <c r="Q8" s="762">
        <f>'4_Fin-Stat'!Q22</f>
        <v>6077</v>
      </c>
      <c r="R8" s="762">
        <f>'4_Fin-Stat'!R22</f>
        <v>2935</v>
      </c>
      <c r="S8" s="762">
        <f>'4_Fin-Stat'!S22</f>
        <v>10163</v>
      </c>
      <c r="T8" s="762">
        <f>'4_Fin-Stat'!T22</f>
        <v>6000</v>
      </c>
      <c r="U8" s="762">
        <f>'4_Fin-Stat'!U22</f>
        <v>2000</v>
      </c>
      <c r="V8" s="762">
        <f>'4_Fin-Stat'!V22</f>
        <v>2000</v>
      </c>
      <c r="W8" s="762">
        <f>'4_Fin-Stat'!W22</f>
        <v>1000</v>
      </c>
      <c r="X8" s="762">
        <f>'4_Fin-Stat'!X22</f>
        <v>0</v>
      </c>
      <c r="Y8" s="762">
        <f>'4_Fin-Stat'!Y22</f>
        <v>299000</v>
      </c>
      <c r="Z8" s="762">
        <f>'4_Fin-Stat'!Z22</f>
        <v>0</v>
      </c>
      <c r="AA8" s="762">
        <f>'4_Fin-Stat'!AA22</f>
        <v>0</v>
      </c>
    </row>
    <row r="9" spans="1:27">
      <c r="A9" s="784">
        <v>1100</v>
      </c>
      <c r="B9" s="784"/>
      <c r="C9" s="784" t="s">
        <v>135</v>
      </c>
      <c r="D9" s="784"/>
      <c r="E9" s="784"/>
      <c r="F9" s="762">
        <f>'4_Fin-Stat'!F8</f>
        <v>83327</v>
      </c>
      <c r="G9" s="762">
        <f>'4_Fin-Stat'!G8</f>
        <v>93160</v>
      </c>
      <c r="H9" s="762">
        <f>'4_Fin-Stat'!H8</f>
        <v>182088</v>
      </c>
      <c r="I9" s="762">
        <f>'4_Fin-Stat'!I8</f>
        <v>138707</v>
      </c>
      <c r="J9" s="762">
        <f>'4_Fin-Stat'!J8</f>
        <v>188812</v>
      </c>
      <c r="K9" s="762">
        <f>'4_Fin-Stat'!K8</f>
        <v>180706</v>
      </c>
      <c r="L9" s="762">
        <f>'4_Fin-Stat'!L8</f>
        <v>257346</v>
      </c>
      <c r="M9" s="762">
        <f>'4_Fin-Stat'!M8</f>
        <v>222439</v>
      </c>
      <c r="N9" s="762">
        <f>'4_Fin-Stat'!N8</f>
        <v>219208</v>
      </c>
      <c r="O9" s="762">
        <f>'4_Fin-Stat'!O8</f>
        <v>468752</v>
      </c>
      <c r="P9" s="762">
        <f>'4_Fin-Stat'!P8</f>
        <v>188933</v>
      </c>
      <c r="Q9" s="762">
        <f>'4_Fin-Stat'!Q8</f>
        <v>198663</v>
      </c>
      <c r="R9" s="762">
        <f>'4_Fin-Stat'!R8</f>
        <v>246530</v>
      </c>
      <c r="S9" s="762">
        <f>'4_Fin-Stat'!S8</f>
        <v>335548</v>
      </c>
      <c r="T9" s="762">
        <f>'4_Fin-Stat'!T8</f>
        <v>165000</v>
      </c>
      <c r="U9" s="762">
        <f>'4_Fin-Stat'!U8</f>
        <v>168000</v>
      </c>
      <c r="V9" s="762">
        <f>'4_Fin-Stat'!V8</f>
        <v>110000</v>
      </c>
      <c r="W9" s="762">
        <f>'4_Fin-Stat'!W8</f>
        <v>91000</v>
      </c>
      <c r="X9" s="762">
        <f>'4_Fin-Stat'!X8</f>
        <v>78000</v>
      </c>
      <c r="Y9" s="762">
        <f>'4_Fin-Stat'!Y8</f>
        <v>65000</v>
      </c>
      <c r="Z9" s="762">
        <f>'4_Fin-Stat'!Z8</f>
        <v>85000</v>
      </c>
      <c r="AA9" s="762">
        <f>'4_Fin-Stat'!AA8</f>
        <v>102000</v>
      </c>
    </row>
    <row r="10" spans="1:27">
      <c r="A10" s="784">
        <v>1110</v>
      </c>
      <c r="B10" s="784"/>
      <c r="C10" s="784" t="s">
        <v>137</v>
      </c>
      <c r="D10" s="784"/>
      <c r="E10" s="784"/>
      <c r="F10" s="785">
        <f>'4_Fin-Stat'!F10</f>
        <v>-543</v>
      </c>
      <c r="G10" s="785">
        <f>'4_Fin-Stat'!G10</f>
        <v>-1376</v>
      </c>
      <c r="H10" s="785">
        <f>'4_Fin-Stat'!H10</f>
        <v>-2023</v>
      </c>
      <c r="I10" s="785">
        <f>'4_Fin-Stat'!I10</f>
        <v>-1874</v>
      </c>
      <c r="J10" s="785">
        <f>'4_Fin-Stat'!J10</f>
        <v>-1906</v>
      </c>
      <c r="K10" s="785">
        <f>'4_Fin-Stat'!K10</f>
        <v>-2243</v>
      </c>
      <c r="L10" s="785">
        <f>'4_Fin-Stat'!L10</f>
        <v>-3333</v>
      </c>
      <c r="M10" s="785">
        <f>'4_Fin-Stat'!M10</f>
        <v>-3730</v>
      </c>
      <c r="N10" s="785">
        <f>'4_Fin-Stat'!N10</f>
        <v>-3057</v>
      </c>
      <c r="O10" s="785">
        <f>'4_Fin-Stat'!O10</f>
        <v>-2839</v>
      </c>
      <c r="P10" s="785">
        <f>'4_Fin-Stat'!P10</f>
        <v>-3239</v>
      </c>
      <c r="Q10" s="785">
        <f>'4_Fin-Stat'!Q10</f>
        <v>-3024</v>
      </c>
      <c r="R10" s="785">
        <f>'4_Fin-Stat'!R10</f>
        <v>-6307</v>
      </c>
      <c r="S10" s="785">
        <f>'4_Fin-Stat'!S10</f>
        <v>-5931</v>
      </c>
      <c r="T10" s="785">
        <f>'4_Fin-Stat'!T10</f>
        <v>-7000</v>
      </c>
      <c r="U10" s="785">
        <f>'4_Fin-Stat'!U10</f>
        <v>-12000</v>
      </c>
      <c r="V10" s="785">
        <f>'4_Fin-Stat'!V10</f>
        <v>-10000</v>
      </c>
      <c r="W10" s="785">
        <f>'4_Fin-Stat'!W10</f>
        <v>-5000</v>
      </c>
      <c r="X10" s="785">
        <f>'4_Fin-Stat'!X10</f>
        <v>-3000</v>
      </c>
      <c r="Y10" s="785">
        <f>'4_Fin-Stat'!Y10</f>
        <v>-2000</v>
      </c>
      <c r="Z10" s="785">
        <f>'4_Fin-Stat'!Z10</f>
        <v>-2000</v>
      </c>
      <c r="AA10" s="785">
        <f>'4_Fin-Stat'!AA10</f>
        <v>-3000</v>
      </c>
    </row>
    <row r="11" spans="1:27">
      <c r="A11" s="784"/>
      <c r="B11" s="784"/>
      <c r="C11" s="784" t="s">
        <v>138</v>
      </c>
      <c r="D11" s="784"/>
      <c r="E11" s="784"/>
      <c r="F11" s="762">
        <f t="shared" ref="F11:AA11" si="2">SUM(F9:F10)</f>
        <v>82784</v>
      </c>
      <c r="G11" s="762">
        <f t="shared" si="2"/>
        <v>91784</v>
      </c>
      <c r="H11" s="762">
        <f t="shared" si="2"/>
        <v>180065</v>
      </c>
      <c r="I11" s="762">
        <f t="shared" si="2"/>
        <v>136833</v>
      </c>
      <c r="J11" s="762">
        <f t="shared" si="2"/>
        <v>186906</v>
      </c>
      <c r="K11" s="762">
        <f t="shared" si="2"/>
        <v>178463</v>
      </c>
      <c r="L11" s="762">
        <f t="shared" si="2"/>
        <v>254013</v>
      </c>
      <c r="M11" s="762">
        <f t="shared" si="2"/>
        <v>218709</v>
      </c>
      <c r="N11" s="762">
        <f t="shared" si="2"/>
        <v>216151</v>
      </c>
      <c r="O11" s="762">
        <f t="shared" si="2"/>
        <v>465913</v>
      </c>
      <c r="P11" s="762">
        <f t="shared" si="2"/>
        <v>185694</v>
      </c>
      <c r="Q11" s="762">
        <f t="shared" si="2"/>
        <v>195639</v>
      </c>
      <c r="R11" s="762">
        <f t="shared" si="2"/>
        <v>240223</v>
      </c>
      <c r="S11" s="762">
        <f t="shared" si="2"/>
        <v>329617</v>
      </c>
      <c r="T11" s="762">
        <f t="shared" si="2"/>
        <v>158000</v>
      </c>
      <c r="U11" s="762">
        <f t="shared" si="2"/>
        <v>156000</v>
      </c>
      <c r="V11" s="762">
        <f t="shared" si="2"/>
        <v>100000</v>
      </c>
      <c r="W11" s="762">
        <f t="shared" si="2"/>
        <v>86000</v>
      </c>
      <c r="X11" s="762">
        <f t="shared" si="2"/>
        <v>75000</v>
      </c>
      <c r="Y11" s="762">
        <f t="shared" si="2"/>
        <v>63000</v>
      </c>
      <c r="Z11" s="762">
        <f t="shared" si="2"/>
        <v>83000</v>
      </c>
      <c r="AA11" s="762">
        <f t="shared" si="2"/>
        <v>99000</v>
      </c>
    </row>
    <row r="12" spans="1:27">
      <c r="A12" s="784">
        <v>1130</v>
      </c>
      <c r="B12" s="784"/>
      <c r="C12" s="784" t="s">
        <v>144</v>
      </c>
      <c r="D12" s="784"/>
      <c r="E12" s="784"/>
      <c r="F12" s="762" t="e">
        <f>'4_Fin-Stat'!#REF!</f>
        <v>#REF!</v>
      </c>
      <c r="G12" s="762" t="e">
        <f>'4_Fin-Stat'!#REF!</f>
        <v>#REF!</v>
      </c>
      <c r="H12" s="762" t="e">
        <f>'4_Fin-Stat'!#REF!</f>
        <v>#REF!</v>
      </c>
      <c r="I12" s="762" t="e">
        <f>'4_Fin-Stat'!#REF!</f>
        <v>#REF!</v>
      </c>
      <c r="J12" s="762" t="e">
        <f>'4_Fin-Stat'!#REF!</f>
        <v>#REF!</v>
      </c>
      <c r="K12" s="762" t="e">
        <f>'4_Fin-Stat'!#REF!</f>
        <v>#REF!</v>
      </c>
      <c r="L12" s="762" t="e">
        <f>'4_Fin-Stat'!#REF!</f>
        <v>#REF!</v>
      </c>
      <c r="M12" s="762" t="e">
        <f>'4_Fin-Stat'!#REF!</f>
        <v>#REF!</v>
      </c>
      <c r="N12" s="762" t="e">
        <f>'4_Fin-Stat'!#REF!</f>
        <v>#REF!</v>
      </c>
      <c r="O12" s="762" t="e">
        <f>'4_Fin-Stat'!#REF!</f>
        <v>#REF!</v>
      </c>
      <c r="P12" s="762" t="e">
        <f>'4_Fin-Stat'!#REF!</f>
        <v>#REF!</v>
      </c>
      <c r="Q12" s="762" t="e">
        <f>'4_Fin-Stat'!#REF!</f>
        <v>#REF!</v>
      </c>
      <c r="R12" s="762" t="e">
        <f>'4_Fin-Stat'!#REF!</f>
        <v>#REF!</v>
      </c>
      <c r="S12" s="762" t="e">
        <f>'4_Fin-Stat'!#REF!</f>
        <v>#REF!</v>
      </c>
      <c r="T12" s="762" t="e">
        <f>'4_Fin-Stat'!#REF!</f>
        <v>#REF!</v>
      </c>
      <c r="U12" s="762" t="e">
        <f>'4_Fin-Stat'!#REF!</f>
        <v>#REF!</v>
      </c>
      <c r="V12" s="762" t="e">
        <f>'4_Fin-Stat'!#REF!</f>
        <v>#REF!</v>
      </c>
      <c r="W12" s="762" t="e">
        <f>'4_Fin-Stat'!#REF!</f>
        <v>#REF!</v>
      </c>
      <c r="X12" s="762" t="e">
        <f>'4_Fin-Stat'!#REF!</f>
        <v>#REF!</v>
      </c>
      <c r="Y12" s="762" t="e">
        <f>'4_Fin-Stat'!#REF!</f>
        <v>#REF!</v>
      </c>
      <c r="Z12" s="762" t="e">
        <f>'4_Fin-Stat'!#REF!</f>
        <v>#REF!</v>
      </c>
      <c r="AA12" s="762" t="e">
        <f>'4_Fin-Stat'!#REF!</f>
        <v>#REF!</v>
      </c>
    </row>
    <row r="13" spans="1:27">
      <c r="A13" s="784">
        <v>1200</v>
      </c>
      <c r="B13" s="784"/>
      <c r="C13" s="784" t="s">
        <v>141</v>
      </c>
      <c r="D13" s="784"/>
      <c r="E13" s="784"/>
      <c r="F13" s="762">
        <f>'4_Fin-Stat'!F14</f>
        <v>2720</v>
      </c>
      <c r="G13" s="762">
        <f>'4_Fin-Stat'!G14</f>
        <v>2509</v>
      </c>
      <c r="H13" s="762">
        <f>'4_Fin-Stat'!H14</f>
        <v>2744</v>
      </c>
      <c r="I13" s="762">
        <f>'4_Fin-Stat'!I14</f>
        <v>2908</v>
      </c>
      <c r="J13" s="762">
        <f>'4_Fin-Stat'!J14</f>
        <v>2884</v>
      </c>
      <c r="K13" s="762">
        <f>'4_Fin-Stat'!K14</f>
        <v>3140</v>
      </c>
      <c r="L13" s="762">
        <f>'4_Fin-Stat'!L14</f>
        <v>3378</v>
      </c>
      <c r="M13" s="762">
        <f>'4_Fin-Stat'!M14</f>
        <v>3106</v>
      </c>
      <c r="N13" s="762">
        <f>'4_Fin-Stat'!N14</f>
        <v>12241</v>
      </c>
      <c r="O13" s="762">
        <f>'4_Fin-Stat'!O14</f>
        <v>9439</v>
      </c>
      <c r="P13" s="762">
        <f>'4_Fin-Stat'!P14</f>
        <v>8407</v>
      </c>
      <c r="Q13" s="762">
        <f>'4_Fin-Stat'!Q14</f>
        <v>7473</v>
      </c>
      <c r="R13" s="762">
        <f>'4_Fin-Stat'!R14</f>
        <v>111512</v>
      </c>
      <c r="S13" s="762">
        <f>'4_Fin-Stat'!S14</f>
        <v>131114</v>
      </c>
      <c r="T13" s="762">
        <f>'4_Fin-Stat'!T14</f>
        <v>137000</v>
      </c>
      <c r="U13" s="762">
        <f>'4_Fin-Stat'!U14</f>
        <v>168000</v>
      </c>
      <c r="V13" s="762">
        <f>'4_Fin-Stat'!V14</f>
        <v>163000</v>
      </c>
      <c r="W13" s="762">
        <f>'4_Fin-Stat'!W14</f>
        <v>104000</v>
      </c>
      <c r="X13" s="762">
        <f>'4_Fin-Stat'!X14</f>
        <v>70000</v>
      </c>
      <c r="Y13" s="762">
        <f>'4_Fin-Stat'!Y14</f>
        <v>58000</v>
      </c>
      <c r="Z13" s="762">
        <f>'4_Fin-Stat'!Z14</f>
        <v>42000</v>
      </c>
      <c r="AA13" s="762">
        <f>'4_Fin-Stat'!AA14</f>
        <v>56000</v>
      </c>
    </row>
    <row r="14" spans="1:27">
      <c r="A14" s="784">
        <v>1210</v>
      </c>
      <c r="B14" s="784"/>
      <c r="C14" s="784" t="s">
        <v>142</v>
      </c>
      <c r="D14" s="784"/>
      <c r="E14" s="784"/>
      <c r="F14" s="785">
        <f>'4_Fin-Stat'!F15</f>
        <v>0</v>
      </c>
      <c r="G14" s="785">
        <f>'4_Fin-Stat'!G15</f>
        <v>0</v>
      </c>
      <c r="H14" s="785">
        <f>'4_Fin-Stat'!H15</f>
        <v>0</v>
      </c>
      <c r="I14" s="785">
        <f>'4_Fin-Stat'!I15</f>
        <v>0</v>
      </c>
      <c r="J14" s="785">
        <f>'4_Fin-Stat'!J15</f>
        <v>0</v>
      </c>
      <c r="K14" s="785">
        <f>'4_Fin-Stat'!K15</f>
        <v>0</v>
      </c>
      <c r="L14" s="785">
        <f>'4_Fin-Stat'!L15</f>
        <v>0</v>
      </c>
      <c r="M14" s="785">
        <f>'4_Fin-Stat'!M15</f>
        <v>0</v>
      </c>
      <c r="N14" s="785">
        <f>'4_Fin-Stat'!N15</f>
        <v>-1276</v>
      </c>
      <c r="O14" s="785">
        <f>'4_Fin-Stat'!O15</f>
        <v>-1188</v>
      </c>
      <c r="P14" s="785">
        <f>'4_Fin-Stat'!P15</f>
        <v>-1108</v>
      </c>
      <c r="Q14" s="785">
        <f>'4_Fin-Stat'!Q15</f>
        <v>-1444</v>
      </c>
      <c r="R14" s="785">
        <f>'4_Fin-Stat'!R15</f>
        <v>9865</v>
      </c>
      <c r="S14" s="785">
        <f>'4_Fin-Stat'!S15</f>
        <v>17015</v>
      </c>
      <c r="T14" s="785">
        <f>'4_Fin-Stat'!T15</f>
        <v>0</v>
      </c>
      <c r="U14" s="785">
        <f>'4_Fin-Stat'!U15</f>
        <v>0</v>
      </c>
      <c r="V14" s="785">
        <f>'4_Fin-Stat'!V15</f>
        <v>0</v>
      </c>
      <c r="W14" s="785">
        <f>'4_Fin-Stat'!W15</f>
        <v>12000</v>
      </c>
      <c r="X14" s="785">
        <f>'4_Fin-Stat'!X15</f>
        <v>7000</v>
      </c>
      <c r="Y14" s="785">
        <f>'4_Fin-Stat'!Y15</f>
        <v>0</v>
      </c>
      <c r="Z14" s="785">
        <f>'4_Fin-Stat'!Z15</f>
        <v>0</v>
      </c>
      <c r="AA14" s="785">
        <f>'4_Fin-Stat'!AA15</f>
        <v>0</v>
      </c>
    </row>
    <row r="15" spans="1:27">
      <c r="A15" s="784"/>
      <c r="B15" s="784"/>
      <c r="C15" s="784" t="s">
        <v>321</v>
      </c>
      <c r="D15" s="784"/>
      <c r="E15" s="784"/>
      <c r="F15" s="762">
        <f t="shared" ref="F15:AA15" si="3">SUM(F13:F14)</f>
        <v>2720</v>
      </c>
      <c r="G15" s="762">
        <f t="shared" si="3"/>
        <v>2509</v>
      </c>
      <c r="H15" s="762">
        <f t="shared" si="3"/>
        <v>2744</v>
      </c>
      <c r="I15" s="762">
        <f t="shared" si="3"/>
        <v>2908</v>
      </c>
      <c r="J15" s="762">
        <f t="shared" si="3"/>
        <v>2884</v>
      </c>
      <c r="K15" s="762">
        <f t="shared" si="3"/>
        <v>3140</v>
      </c>
      <c r="L15" s="762">
        <f t="shared" si="3"/>
        <v>3378</v>
      </c>
      <c r="M15" s="762">
        <f t="shared" si="3"/>
        <v>3106</v>
      </c>
      <c r="N15" s="762">
        <f t="shared" si="3"/>
        <v>10965</v>
      </c>
      <c r="O15" s="762">
        <f t="shared" si="3"/>
        <v>8251</v>
      </c>
      <c r="P15" s="762">
        <f t="shared" si="3"/>
        <v>7299</v>
      </c>
      <c r="Q15" s="762">
        <f t="shared" si="3"/>
        <v>6029</v>
      </c>
      <c r="R15" s="762">
        <f t="shared" si="3"/>
        <v>121377</v>
      </c>
      <c r="S15" s="762">
        <f t="shared" si="3"/>
        <v>148129</v>
      </c>
      <c r="T15" s="762">
        <f t="shared" si="3"/>
        <v>137000</v>
      </c>
      <c r="U15" s="762">
        <f t="shared" si="3"/>
        <v>168000</v>
      </c>
      <c r="V15" s="762">
        <f t="shared" si="3"/>
        <v>163000</v>
      </c>
      <c r="W15" s="762">
        <f t="shared" si="3"/>
        <v>116000</v>
      </c>
      <c r="X15" s="762">
        <f t="shared" si="3"/>
        <v>77000</v>
      </c>
      <c r="Y15" s="762">
        <f t="shared" si="3"/>
        <v>58000</v>
      </c>
      <c r="Z15" s="762">
        <f t="shared" si="3"/>
        <v>42000</v>
      </c>
      <c r="AA15" s="762">
        <f t="shared" si="3"/>
        <v>56000</v>
      </c>
    </row>
    <row r="16" spans="1:27">
      <c r="A16" s="784">
        <v>1250</v>
      </c>
      <c r="B16" s="784"/>
      <c r="C16" s="784" t="s">
        <v>145</v>
      </c>
      <c r="D16" s="784"/>
      <c r="E16" s="784"/>
      <c r="F16" s="762" t="e">
        <f>'4_Fin-Stat'!#REF!</f>
        <v>#REF!</v>
      </c>
      <c r="G16" s="762" t="e">
        <f>'4_Fin-Stat'!#REF!</f>
        <v>#REF!</v>
      </c>
      <c r="H16" s="762" t="e">
        <f>'4_Fin-Stat'!#REF!</f>
        <v>#REF!</v>
      </c>
      <c r="I16" s="762" t="e">
        <f>'4_Fin-Stat'!#REF!</f>
        <v>#REF!</v>
      </c>
      <c r="J16" s="762" t="e">
        <f>'4_Fin-Stat'!#REF!</f>
        <v>#REF!</v>
      </c>
      <c r="K16" s="762" t="e">
        <f>'4_Fin-Stat'!#REF!</f>
        <v>#REF!</v>
      </c>
      <c r="L16" s="762" t="e">
        <f>'4_Fin-Stat'!#REF!</f>
        <v>#REF!</v>
      </c>
      <c r="M16" s="762" t="e">
        <f>'4_Fin-Stat'!#REF!</f>
        <v>#REF!</v>
      </c>
      <c r="N16" s="762" t="e">
        <f>'4_Fin-Stat'!#REF!</f>
        <v>#REF!</v>
      </c>
      <c r="O16" s="762" t="e">
        <f>'4_Fin-Stat'!#REF!</f>
        <v>#REF!</v>
      </c>
      <c r="P16" s="762" t="e">
        <f>'4_Fin-Stat'!#REF!</f>
        <v>#REF!</v>
      </c>
      <c r="Q16" s="762" t="e">
        <f>'4_Fin-Stat'!#REF!</f>
        <v>#REF!</v>
      </c>
      <c r="R16" s="762" t="e">
        <f>'4_Fin-Stat'!#REF!</f>
        <v>#REF!</v>
      </c>
      <c r="S16" s="762" t="e">
        <f>'4_Fin-Stat'!#REF!</f>
        <v>#REF!</v>
      </c>
      <c r="T16" s="762" t="e">
        <f>'4_Fin-Stat'!#REF!</f>
        <v>#REF!</v>
      </c>
      <c r="U16" s="762" t="e">
        <f>'4_Fin-Stat'!#REF!</f>
        <v>#REF!</v>
      </c>
      <c r="V16" s="762" t="e">
        <f>'4_Fin-Stat'!#REF!</f>
        <v>#REF!</v>
      </c>
      <c r="W16" s="762" t="e">
        <f>'4_Fin-Stat'!#REF!</f>
        <v>#REF!</v>
      </c>
      <c r="X16" s="762" t="e">
        <f>'4_Fin-Stat'!#REF!</f>
        <v>#REF!</v>
      </c>
      <c r="Y16" s="762" t="e">
        <f>'4_Fin-Stat'!#REF!</f>
        <v>#REF!</v>
      </c>
      <c r="Z16" s="762" t="e">
        <f>'4_Fin-Stat'!#REF!</f>
        <v>#REF!</v>
      </c>
      <c r="AA16" s="762" t="e">
        <f>'4_Fin-Stat'!#REF!</f>
        <v>#REF!</v>
      </c>
    </row>
    <row r="17" spans="1:28">
      <c r="A17" s="784">
        <v>1700</v>
      </c>
      <c r="B17" s="784"/>
      <c r="C17" s="784" t="s">
        <v>150</v>
      </c>
      <c r="D17" s="784"/>
      <c r="E17" s="784"/>
      <c r="F17" s="762" t="e">
        <f>'4_Fin-Stat'!F12+'4_Fin-Stat'!#REF!</f>
        <v>#REF!</v>
      </c>
      <c r="G17" s="762" t="e">
        <f>'4_Fin-Stat'!G12+'4_Fin-Stat'!#REF!</f>
        <v>#REF!</v>
      </c>
      <c r="H17" s="762" t="e">
        <f>'4_Fin-Stat'!H12+'4_Fin-Stat'!#REF!</f>
        <v>#REF!</v>
      </c>
      <c r="I17" s="762" t="e">
        <f>'4_Fin-Stat'!I12+'4_Fin-Stat'!#REF!</f>
        <v>#REF!</v>
      </c>
      <c r="J17" s="762" t="e">
        <f>'4_Fin-Stat'!J12+'4_Fin-Stat'!#REF!</f>
        <v>#REF!</v>
      </c>
      <c r="K17" s="762" t="e">
        <f>'4_Fin-Stat'!K12+'4_Fin-Stat'!#REF!</f>
        <v>#REF!</v>
      </c>
      <c r="L17" s="762" t="e">
        <f>'4_Fin-Stat'!L12+'4_Fin-Stat'!#REF!</f>
        <v>#REF!</v>
      </c>
      <c r="M17" s="762" t="e">
        <f>'4_Fin-Stat'!M12+'4_Fin-Stat'!#REF!</f>
        <v>#REF!</v>
      </c>
      <c r="N17" s="762" t="e">
        <f>'4_Fin-Stat'!N12+'4_Fin-Stat'!#REF!</f>
        <v>#REF!</v>
      </c>
      <c r="O17" s="762" t="e">
        <f>'4_Fin-Stat'!O12+'4_Fin-Stat'!#REF!</f>
        <v>#REF!</v>
      </c>
      <c r="P17" s="762" t="e">
        <f>'4_Fin-Stat'!P12+'4_Fin-Stat'!#REF!</f>
        <v>#REF!</v>
      </c>
      <c r="Q17" s="762" t="e">
        <f>'4_Fin-Stat'!Q12+'4_Fin-Stat'!#REF!</f>
        <v>#REF!</v>
      </c>
      <c r="R17" s="762" t="e">
        <f>'4_Fin-Stat'!R12+'4_Fin-Stat'!#REF!</f>
        <v>#REF!</v>
      </c>
      <c r="S17" s="762" t="e">
        <f>'4_Fin-Stat'!S12+'4_Fin-Stat'!#REF!</f>
        <v>#REF!</v>
      </c>
      <c r="T17" s="762" t="e">
        <f>'4_Fin-Stat'!T12+'4_Fin-Stat'!#REF!</f>
        <v>#REF!</v>
      </c>
      <c r="U17" s="762" t="e">
        <f>'4_Fin-Stat'!U12+'4_Fin-Stat'!#REF!</f>
        <v>#REF!</v>
      </c>
      <c r="V17" s="762" t="e">
        <f>'4_Fin-Stat'!V12+'4_Fin-Stat'!#REF!</f>
        <v>#REF!</v>
      </c>
      <c r="W17" s="762" t="e">
        <f>'4_Fin-Stat'!W12+'4_Fin-Stat'!#REF!</f>
        <v>#REF!</v>
      </c>
      <c r="X17" s="762" t="e">
        <f>'4_Fin-Stat'!X12+'4_Fin-Stat'!#REF!</f>
        <v>#REF!</v>
      </c>
      <c r="Y17" s="762" t="e">
        <f>'4_Fin-Stat'!Y12+'4_Fin-Stat'!#REF!</f>
        <v>#REF!</v>
      </c>
      <c r="Z17" s="762" t="e">
        <f>'4_Fin-Stat'!Z12+'4_Fin-Stat'!#REF!</f>
        <v>#REF!</v>
      </c>
      <c r="AA17" s="762" t="e">
        <f>'4_Fin-Stat'!AA13+'4_Fin-Stat'!#REF!</f>
        <v>#REF!</v>
      </c>
    </row>
    <row r="18" spans="1:28">
      <c r="A18" s="784">
        <v>1800</v>
      </c>
      <c r="B18" s="784"/>
      <c r="C18" s="784" t="s">
        <v>322</v>
      </c>
      <c r="D18" s="784"/>
      <c r="E18" s="784"/>
      <c r="F18" s="762" t="e">
        <f>'4_Fin-Stat'!F13+'4_Fin-Stat'!#REF!+'4_Fin-Stat'!#REF!</f>
        <v>#REF!</v>
      </c>
      <c r="G18" s="762" t="e">
        <f>'4_Fin-Stat'!G13+'4_Fin-Stat'!#REF!</f>
        <v>#REF!</v>
      </c>
      <c r="H18" s="762" t="e">
        <f>'4_Fin-Stat'!H13+'4_Fin-Stat'!#REF!</f>
        <v>#REF!</v>
      </c>
      <c r="I18" s="762" t="e">
        <f>'4_Fin-Stat'!I13+'4_Fin-Stat'!#REF!</f>
        <v>#REF!</v>
      </c>
      <c r="J18" s="762" t="e">
        <f>'4_Fin-Stat'!J13+'4_Fin-Stat'!#REF!</f>
        <v>#REF!</v>
      </c>
      <c r="K18" s="762" t="e">
        <f>'4_Fin-Stat'!K13+'4_Fin-Stat'!#REF!</f>
        <v>#REF!</v>
      </c>
      <c r="L18" s="762" t="e">
        <f>'4_Fin-Stat'!L13+'4_Fin-Stat'!#REF!</f>
        <v>#REF!</v>
      </c>
      <c r="M18" s="762" t="e">
        <f>'4_Fin-Stat'!M13+'4_Fin-Stat'!#REF!</f>
        <v>#REF!</v>
      </c>
      <c r="N18" s="762" t="e">
        <f>'4_Fin-Stat'!N13+'4_Fin-Stat'!#REF!</f>
        <v>#REF!</v>
      </c>
      <c r="O18" s="762" t="e">
        <f>'4_Fin-Stat'!O13+'4_Fin-Stat'!#REF!</f>
        <v>#REF!</v>
      </c>
      <c r="P18" s="762" t="e">
        <f>'4_Fin-Stat'!P13+'4_Fin-Stat'!#REF!</f>
        <v>#REF!</v>
      </c>
      <c r="Q18" s="762" t="e">
        <f>'4_Fin-Stat'!Q13+'4_Fin-Stat'!#REF!</f>
        <v>#REF!</v>
      </c>
      <c r="R18" s="762" t="e">
        <f>'4_Fin-Stat'!R13+'4_Fin-Stat'!#REF!</f>
        <v>#REF!</v>
      </c>
      <c r="S18" s="762" t="e">
        <f>'4_Fin-Stat'!S13+'4_Fin-Stat'!#REF!</f>
        <v>#REF!</v>
      </c>
      <c r="T18" s="762" t="e">
        <f>'4_Fin-Stat'!T13+'4_Fin-Stat'!#REF!</f>
        <v>#REF!</v>
      </c>
      <c r="U18" s="762" t="e">
        <f>'4_Fin-Stat'!U13+'4_Fin-Stat'!#REF!</f>
        <v>#REF!</v>
      </c>
      <c r="V18" s="762" t="e">
        <f>'4_Fin-Stat'!V13+'4_Fin-Stat'!#REF!</f>
        <v>#REF!</v>
      </c>
      <c r="W18" s="762" t="e">
        <f>'4_Fin-Stat'!W13+'4_Fin-Stat'!#REF!</f>
        <v>#REF!</v>
      </c>
      <c r="X18" s="762" t="e">
        <f>'4_Fin-Stat'!X13+'4_Fin-Stat'!#REF!</f>
        <v>#REF!</v>
      </c>
      <c r="Y18" s="762" t="e">
        <f>'4_Fin-Stat'!Y13+'4_Fin-Stat'!#REF!</f>
        <v>#REF!</v>
      </c>
      <c r="Z18" s="762" t="e">
        <f>'4_Fin-Stat'!Z13+'4_Fin-Stat'!#REF!</f>
        <v>#REF!</v>
      </c>
      <c r="AA18" s="762" t="e">
        <f>'4_Fin-Stat'!#REF!+'4_Fin-Stat'!#REF!</f>
        <v>#REF!</v>
      </c>
    </row>
    <row r="19" spans="1:28">
      <c r="A19" s="784"/>
      <c r="B19" s="784"/>
      <c r="C19" s="784" t="s">
        <v>143</v>
      </c>
      <c r="D19" s="784"/>
      <c r="E19" s="784"/>
      <c r="F19" s="762" t="e">
        <f>'4_Fin-Stat'!#REF!+'4_Fin-Stat'!F20+'4_Fin-Stat'!#REF!+'4_Fin-Stat'!#REF!</f>
        <v>#REF!</v>
      </c>
      <c r="G19" s="762" t="e">
        <f>'4_Fin-Stat'!#REF!+'4_Fin-Stat'!G20+'4_Fin-Stat'!#REF!+'4_Fin-Stat'!#REF!</f>
        <v>#REF!</v>
      </c>
      <c r="H19" s="762" t="e">
        <f>'4_Fin-Stat'!#REF!+'4_Fin-Stat'!H20+'4_Fin-Stat'!#REF!+'4_Fin-Stat'!#REF!</f>
        <v>#REF!</v>
      </c>
      <c r="I19" s="762" t="e">
        <f>'4_Fin-Stat'!#REF!+'4_Fin-Stat'!I20+'4_Fin-Stat'!#REF!+'4_Fin-Stat'!#REF!</f>
        <v>#REF!</v>
      </c>
      <c r="J19" s="762" t="e">
        <f>'4_Fin-Stat'!#REF!+'4_Fin-Stat'!#REF!+'4_Fin-Stat'!#REF!</f>
        <v>#REF!</v>
      </c>
      <c r="K19" s="762" t="e">
        <f>'4_Fin-Stat'!#REF!+'4_Fin-Stat'!K20+'4_Fin-Stat'!#REF!+'4_Fin-Stat'!#REF!</f>
        <v>#REF!</v>
      </c>
      <c r="L19" s="762" t="e">
        <f>'4_Fin-Stat'!#REF!+'4_Fin-Stat'!L20+'4_Fin-Stat'!#REF!+'4_Fin-Stat'!#REF!</f>
        <v>#REF!</v>
      </c>
      <c r="M19" s="762" t="e">
        <f>'4_Fin-Stat'!#REF!+'4_Fin-Stat'!M20+'4_Fin-Stat'!#REF!+'4_Fin-Stat'!#REF!</f>
        <v>#REF!</v>
      </c>
      <c r="N19" s="762" t="e">
        <f>'4_Fin-Stat'!#REF!+'4_Fin-Stat'!N20+'4_Fin-Stat'!#REF!+'4_Fin-Stat'!#REF!</f>
        <v>#REF!</v>
      </c>
      <c r="O19" s="762" t="e">
        <f>'4_Fin-Stat'!#REF!+'4_Fin-Stat'!O20+'4_Fin-Stat'!#REF!+'4_Fin-Stat'!#REF!</f>
        <v>#REF!</v>
      </c>
      <c r="P19" s="762" t="e">
        <f>'4_Fin-Stat'!#REF!+'4_Fin-Stat'!P20+'4_Fin-Stat'!#REF!+'4_Fin-Stat'!#REF!</f>
        <v>#REF!</v>
      </c>
      <c r="Q19" s="762" t="e">
        <f>'4_Fin-Stat'!#REF!+'4_Fin-Stat'!Q20+'4_Fin-Stat'!#REF!+'4_Fin-Stat'!#REF!</f>
        <v>#REF!</v>
      </c>
      <c r="R19" s="762" t="e">
        <f>'4_Fin-Stat'!#REF!+'4_Fin-Stat'!R20+'4_Fin-Stat'!#REF!+'4_Fin-Stat'!#REF!</f>
        <v>#REF!</v>
      </c>
      <c r="S19" s="762" t="e">
        <f>'4_Fin-Stat'!#REF!+'4_Fin-Stat'!S20+'4_Fin-Stat'!#REF!+'4_Fin-Stat'!#REF!</f>
        <v>#REF!</v>
      </c>
      <c r="T19" s="762" t="e">
        <f>'4_Fin-Stat'!#REF!+'4_Fin-Stat'!T20+'4_Fin-Stat'!#REF!+'4_Fin-Stat'!#REF!</f>
        <v>#REF!</v>
      </c>
      <c r="U19" s="762" t="e">
        <f>'4_Fin-Stat'!#REF!+'4_Fin-Stat'!U20+'4_Fin-Stat'!#REF!+'4_Fin-Stat'!#REF!</f>
        <v>#REF!</v>
      </c>
      <c r="V19" s="762" t="e">
        <f>'4_Fin-Stat'!#REF!+'4_Fin-Stat'!V20+'4_Fin-Stat'!#REF!+'4_Fin-Stat'!#REF!</f>
        <v>#REF!</v>
      </c>
      <c r="W19" s="762" t="e">
        <f>'4_Fin-Stat'!#REF!+'4_Fin-Stat'!W20+'4_Fin-Stat'!#REF!+'4_Fin-Stat'!#REF!</f>
        <v>#REF!</v>
      </c>
      <c r="X19" s="762" t="e">
        <f>'4_Fin-Stat'!#REF!+'4_Fin-Stat'!X20+'4_Fin-Stat'!#REF!+'4_Fin-Stat'!#REF!</f>
        <v>#REF!</v>
      </c>
      <c r="Y19" s="762" t="e">
        <f>'4_Fin-Stat'!#REF!+'4_Fin-Stat'!Y20+'4_Fin-Stat'!#REF!+'4_Fin-Stat'!#REF!</f>
        <v>#REF!</v>
      </c>
      <c r="Z19" s="762" t="e">
        <f>'4_Fin-Stat'!#REF!+'4_Fin-Stat'!Z20+'4_Fin-Stat'!#REF!+'4_Fin-Stat'!#REF!</f>
        <v>#REF!</v>
      </c>
      <c r="AA19" s="762" t="e">
        <f>'4_Fin-Stat'!#REF!+'4_Fin-Stat'!AA20+'4_Fin-Stat'!#REF!+'4_Fin-Stat'!#REF!</f>
        <v>#REF!</v>
      </c>
    </row>
    <row r="20" spans="1:28">
      <c r="A20" s="784">
        <v>1810</v>
      </c>
      <c r="B20" s="784"/>
      <c r="C20" s="784" t="s">
        <v>148</v>
      </c>
      <c r="D20" s="784"/>
      <c r="E20" s="784"/>
      <c r="F20" s="762" t="e">
        <f>'4_Fin-Stat'!#REF!</f>
        <v>#REF!</v>
      </c>
      <c r="G20" s="762" t="e">
        <f>'4_Fin-Stat'!#REF!</f>
        <v>#REF!</v>
      </c>
      <c r="H20" s="762" t="e">
        <f>'4_Fin-Stat'!#REF!</f>
        <v>#REF!</v>
      </c>
      <c r="I20" s="762" t="e">
        <f>'4_Fin-Stat'!#REF!</f>
        <v>#REF!</v>
      </c>
      <c r="J20" s="762" t="e">
        <f>'4_Fin-Stat'!#REF!</f>
        <v>#REF!</v>
      </c>
      <c r="K20" s="762" t="e">
        <f>'4_Fin-Stat'!#REF!</f>
        <v>#REF!</v>
      </c>
      <c r="L20" s="762" t="e">
        <f>'4_Fin-Stat'!#REF!</f>
        <v>#REF!</v>
      </c>
      <c r="M20" s="762" t="e">
        <f>'4_Fin-Stat'!#REF!</f>
        <v>#REF!</v>
      </c>
      <c r="N20" s="762" t="e">
        <f>'4_Fin-Stat'!#REF!</f>
        <v>#REF!</v>
      </c>
      <c r="O20" s="762" t="e">
        <f>'4_Fin-Stat'!#REF!</f>
        <v>#REF!</v>
      </c>
      <c r="P20" s="762" t="e">
        <f>'4_Fin-Stat'!#REF!</f>
        <v>#REF!</v>
      </c>
      <c r="Q20" s="762" t="e">
        <f>'4_Fin-Stat'!#REF!</f>
        <v>#REF!</v>
      </c>
      <c r="R20" s="762" t="e">
        <f>'4_Fin-Stat'!#REF!</f>
        <v>#REF!</v>
      </c>
      <c r="S20" s="762" t="e">
        <f>'4_Fin-Stat'!#REF!</f>
        <v>#REF!</v>
      </c>
      <c r="T20" s="762" t="e">
        <f>'4_Fin-Stat'!#REF!</f>
        <v>#REF!</v>
      </c>
      <c r="U20" s="762" t="e">
        <f>'4_Fin-Stat'!#REF!</f>
        <v>#REF!</v>
      </c>
      <c r="V20" s="762" t="e">
        <f>'4_Fin-Stat'!#REF!</f>
        <v>#REF!</v>
      </c>
      <c r="W20" s="762" t="e">
        <f>'4_Fin-Stat'!#REF!</f>
        <v>#REF!</v>
      </c>
      <c r="X20" s="762" t="e">
        <f>'4_Fin-Stat'!#REF!</f>
        <v>#REF!</v>
      </c>
      <c r="Y20" s="762" t="e">
        <f>'4_Fin-Stat'!#REF!</f>
        <v>#REF!</v>
      </c>
      <c r="Z20" s="762" t="e">
        <f>'4_Fin-Stat'!#REF!</f>
        <v>#REF!</v>
      </c>
      <c r="AA20" s="762" t="e">
        <f>'4_Fin-Stat'!#REF!</f>
        <v>#REF!</v>
      </c>
    </row>
    <row r="21" spans="1:28">
      <c r="A21" s="784">
        <v>1230</v>
      </c>
      <c r="B21" s="784"/>
      <c r="C21" s="784" t="s">
        <v>151</v>
      </c>
      <c r="D21" s="784"/>
      <c r="E21" s="784"/>
      <c r="F21" s="762" t="e">
        <f>'4_Fin-Stat'!#REF!</f>
        <v>#REF!</v>
      </c>
      <c r="G21" s="762" t="e">
        <f>'4_Fin-Stat'!#REF!</f>
        <v>#REF!</v>
      </c>
      <c r="H21" s="762" t="e">
        <f>'4_Fin-Stat'!#REF!</f>
        <v>#REF!</v>
      </c>
      <c r="I21" s="762" t="e">
        <f>'4_Fin-Stat'!#REF!</f>
        <v>#REF!</v>
      </c>
      <c r="J21" s="762" t="e">
        <f>'4_Fin-Stat'!#REF!</f>
        <v>#REF!</v>
      </c>
      <c r="K21" s="762" t="e">
        <f>'4_Fin-Stat'!#REF!</f>
        <v>#REF!</v>
      </c>
      <c r="L21" s="762" t="e">
        <f>'4_Fin-Stat'!#REF!</f>
        <v>#REF!</v>
      </c>
      <c r="M21" s="762" t="e">
        <f>'4_Fin-Stat'!#REF!</f>
        <v>#REF!</v>
      </c>
      <c r="N21" s="762" t="e">
        <f>'4_Fin-Stat'!#REF!</f>
        <v>#REF!</v>
      </c>
      <c r="O21" s="762" t="e">
        <f>'4_Fin-Stat'!#REF!</f>
        <v>#REF!</v>
      </c>
      <c r="P21" s="762" t="e">
        <f>'4_Fin-Stat'!#REF!</f>
        <v>#REF!</v>
      </c>
      <c r="Q21" s="762" t="e">
        <f>'4_Fin-Stat'!#REF!</f>
        <v>#REF!</v>
      </c>
      <c r="R21" s="762" t="e">
        <f>'4_Fin-Stat'!#REF!</f>
        <v>#REF!</v>
      </c>
      <c r="S21" s="762" t="e">
        <f>'4_Fin-Stat'!#REF!</f>
        <v>#REF!</v>
      </c>
      <c r="T21" s="762" t="e">
        <f>'4_Fin-Stat'!#REF!</f>
        <v>#REF!</v>
      </c>
      <c r="U21" s="762" t="e">
        <f>'4_Fin-Stat'!#REF!</f>
        <v>#REF!</v>
      </c>
      <c r="V21" s="762" t="e">
        <f>'4_Fin-Stat'!#REF!</f>
        <v>#REF!</v>
      </c>
      <c r="W21" s="762" t="e">
        <f>'4_Fin-Stat'!#REF!</f>
        <v>#REF!</v>
      </c>
      <c r="X21" s="762" t="e">
        <f>'4_Fin-Stat'!#REF!</f>
        <v>#REF!</v>
      </c>
      <c r="Y21" s="762" t="e">
        <f>'4_Fin-Stat'!#REF!</f>
        <v>#REF!</v>
      </c>
      <c r="Z21" s="762" t="e">
        <f>'4_Fin-Stat'!#REF!</f>
        <v>#REF!</v>
      </c>
      <c r="AA21" s="762" t="e">
        <f>'4_Fin-Stat'!#REF!</f>
        <v>#REF!</v>
      </c>
    </row>
    <row r="22" spans="1:28">
      <c r="A22" s="784">
        <v>1820</v>
      </c>
      <c r="B22" s="784"/>
      <c r="C22" s="784" t="s">
        <v>154</v>
      </c>
      <c r="D22" s="784"/>
      <c r="E22" s="784"/>
      <c r="F22" s="785">
        <f>'4_Fin-Stat'!F23</f>
        <v>0</v>
      </c>
      <c r="G22" s="785">
        <f>'4_Fin-Stat'!G23</f>
        <v>0</v>
      </c>
      <c r="H22" s="785">
        <f>'4_Fin-Stat'!H23</f>
        <v>0</v>
      </c>
      <c r="I22" s="785">
        <f>'4_Fin-Stat'!I23</f>
        <v>0</v>
      </c>
      <c r="J22" s="785">
        <f>'4_Fin-Stat'!J23</f>
        <v>0</v>
      </c>
      <c r="K22" s="785">
        <f>'4_Fin-Stat'!K23</f>
        <v>0</v>
      </c>
      <c r="L22" s="785">
        <f>'4_Fin-Stat'!L23</f>
        <v>0</v>
      </c>
      <c r="M22" s="785">
        <f>'4_Fin-Stat'!M23</f>
        <v>0</v>
      </c>
      <c r="N22" s="785">
        <f>'4_Fin-Stat'!N23</f>
        <v>0</v>
      </c>
      <c r="O22" s="785">
        <f>'4_Fin-Stat'!O23</f>
        <v>2811</v>
      </c>
      <c r="P22" s="785">
        <f>'4_Fin-Stat'!P23</f>
        <v>2211</v>
      </c>
      <c r="Q22" s="785">
        <f>'4_Fin-Stat'!Q23</f>
        <v>294</v>
      </c>
      <c r="R22" s="785">
        <f>'4_Fin-Stat'!R23</f>
        <v>11603</v>
      </c>
      <c r="S22" s="785">
        <f>'4_Fin-Stat'!S23</f>
        <v>310</v>
      </c>
      <c r="T22" s="785">
        <f>'4_Fin-Stat'!T23</f>
        <v>0</v>
      </c>
      <c r="U22" s="785">
        <f>'4_Fin-Stat'!U23</f>
        <v>0</v>
      </c>
      <c r="V22" s="785">
        <f>'4_Fin-Stat'!V23</f>
        <v>0</v>
      </c>
      <c r="W22" s="785">
        <f>'4_Fin-Stat'!W23</f>
        <v>0</v>
      </c>
      <c r="X22" s="785">
        <f>'4_Fin-Stat'!X23</f>
        <v>0</v>
      </c>
      <c r="Y22" s="785">
        <f>'4_Fin-Stat'!Y23</f>
        <v>0</v>
      </c>
      <c r="Z22" s="785">
        <f>'4_Fin-Stat'!Z23</f>
        <v>11000</v>
      </c>
      <c r="AA22" s="785">
        <f>'4_Fin-Stat'!AA23</f>
        <v>14000</v>
      </c>
    </row>
    <row r="23" spans="1:28">
      <c r="A23" s="784"/>
      <c r="B23" s="784"/>
      <c r="C23" s="784"/>
      <c r="D23" s="784"/>
      <c r="E23" s="784"/>
      <c r="F23" s="762" t="e">
        <f t="shared" ref="F23:R23" si="4">F5+F7+F8+F11+F12+F15+F16+F17+F18+F19+F20+F21+F22</f>
        <v>#REF!</v>
      </c>
      <c r="G23" s="762" t="e">
        <f t="shared" si="4"/>
        <v>#REF!</v>
      </c>
      <c r="H23" s="762" t="e">
        <f t="shared" si="4"/>
        <v>#REF!</v>
      </c>
      <c r="I23" s="762" t="e">
        <f t="shared" si="4"/>
        <v>#REF!</v>
      </c>
      <c r="J23" s="762" t="e">
        <f t="shared" si="4"/>
        <v>#REF!</v>
      </c>
      <c r="K23" s="762" t="e">
        <f t="shared" si="4"/>
        <v>#REF!</v>
      </c>
      <c r="L23" s="762" t="e">
        <f t="shared" si="4"/>
        <v>#REF!</v>
      </c>
      <c r="M23" s="762" t="e">
        <f t="shared" si="4"/>
        <v>#REF!</v>
      </c>
      <c r="N23" s="762" t="e">
        <f t="shared" si="4"/>
        <v>#REF!</v>
      </c>
      <c r="O23" s="762" t="e">
        <f t="shared" si="4"/>
        <v>#REF!</v>
      </c>
      <c r="P23" s="762" t="e">
        <f t="shared" si="4"/>
        <v>#REF!</v>
      </c>
      <c r="Q23" s="762" t="e">
        <f t="shared" si="4"/>
        <v>#REF!</v>
      </c>
      <c r="R23" s="762" t="e">
        <f t="shared" si="4"/>
        <v>#REF!</v>
      </c>
      <c r="S23" s="762" t="e">
        <f t="shared" ref="S23:AA23" si="5">S5+S6+S7+S8+S11+S12+S15+S16+S17+S18+S19+S20+S21+S22</f>
        <v>#REF!</v>
      </c>
      <c r="T23" s="762" t="e">
        <f t="shared" si="5"/>
        <v>#REF!</v>
      </c>
      <c r="U23" s="762" t="e">
        <f t="shared" si="5"/>
        <v>#REF!</v>
      </c>
      <c r="V23" s="762" t="e">
        <f t="shared" si="5"/>
        <v>#REF!</v>
      </c>
      <c r="W23" s="762" t="e">
        <f t="shared" si="5"/>
        <v>#REF!</v>
      </c>
      <c r="X23" s="762" t="e">
        <f t="shared" si="5"/>
        <v>#REF!</v>
      </c>
      <c r="Y23" s="762" t="e">
        <f t="shared" si="5"/>
        <v>#REF!</v>
      </c>
      <c r="Z23" s="762" t="e">
        <f t="shared" si="5"/>
        <v>#REF!</v>
      </c>
      <c r="AA23" s="762" t="e">
        <f t="shared" si="5"/>
        <v>#REF!</v>
      </c>
    </row>
    <row r="24" spans="1:28">
      <c r="A24" s="784"/>
      <c r="B24" s="784"/>
      <c r="C24" s="784" t="s">
        <v>143</v>
      </c>
      <c r="D24" s="784"/>
      <c r="E24" s="784"/>
      <c r="F24" s="762"/>
      <c r="G24" s="762"/>
      <c r="H24" s="762"/>
      <c r="I24" s="762"/>
      <c r="J24" s="762">
        <f>'4_Fin-Stat'!J20</f>
        <v>0</v>
      </c>
      <c r="K24" s="762"/>
      <c r="L24" s="762"/>
      <c r="M24" s="762"/>
      <c r="N24" s="762"/>
      <c r="O24" s="762"/>
      <c r="P24" s="784"/>
      <c r="Q24" s="762"/>
      <c r="R24" s="762"/>
      <c r="S24" s="762"/>
      <c r="T24" s="786"/>
      <c r="U24" s="786"/>
      <c r="V24" s="786"/>
      <c r="W24" s="786"/>
      <c r="X24" s="786"/>
      <c r="Y24" s="784"/>
      <c r="Z24" s="784"/>
      <c r="AA24" s="784"/>
    </row>
    <row r="25" spans="1:28">
      <c r="A25" s="784">
        <v>1710</v>
      </c>
      <c r="B25" s="784"/>
      <c r="C25" s="784" t="s">
        <v>155</v>
      </c>
      <c r="D25" s="784"/>
      <c r="E25" s="784"/>
      <c r="F25" s="762">
        <f>'4_Fin-Stat'!F24</f>
        <v>0</v>
      </c>
      <c r="G25" s="762">
        <f>'4_Fin-Stat'!G24</f>
        <v>0</v>
      </c>
      <c r="H25" s="762">
        <f>'4_Fin-Stat'!H24</f>
        <v>0</v>
      </c>
      <c r="I25" s="762">
        <f>'4_Fin-Stat'!I24</f>
        <v>0</v>
      </c>
      <c r="J25" s="762">
        <f>'4_Fin-Stat'!J24</f>
        <v>0</v>
      </c>
      <c r="K25" s="762">
        <f>'4_Fin-Stat'!K24</f>
        <v>0</v>
      </c>
      <c r="L25" s="762">
        <f>'4_Fin-Stat'!L24</f>
        <v>0</v>
      </c>
      <c r="M25" s="762">
        <f>'4_Fin-Stat'!M24</f>
        <v>0</v>
      </c>
      <c r="N25" s="762">
        <f>'4_Fin-Stat'!N24</f>
        <v>26948</v>
      </c>
      <c r="O25" s="762">
        <f>'4_Fin-Stat'!O24</f>
        <v>38856</v>
      </c>
      <c r="P25" s="762">
        <f>'4_Fin-Stat'!P24</f>
        <v>110690</v>
      </c>
      <c r="Q25" s="762">
        <f>'4_Fin-Stat'!Q24</f>
        <v>83639</v>
      </c>
      <c r="R25" s="762">
        <f>'4_Fin-Stat'!R24</f>
        <v>2017</v>
      </c>
      <c r="S25" s="762">
        <f>'4_Fin-Stat'!S24</f>
        <v>3843</v>
      </c>
      <c r="T25" s="762">
        <f>'4_Fin-Stat'!T24</f>
        <v>10000</v>
      </c>
      <c r="U25" s="762">
        <f>'4_Fin-Stat'!U24</f>
        <v>12000</v>
      </c>
      <c r="V25" s="762">
        <f>'4_Fin-Stat'!V24</f>
        <v>84000</v>
      </c>
      <c r="W25" s="762">
        <f>'4_Fin-Stat'!W24</f>
        <v>110000</v>
      </c>
      <c r="X25" s="762">
        <f>'4_Fin-Stat'!X24</f>
        <v>46000</v>
      </c>
      <c r="Y25" s="762">
        <f>'4_Fin-Stat'!Y24</f>
        <v>65000</v>
      </c>
      <c r="Z25" s="762">
        <f>'4_Fin-Stat'!Z24</f>
        <v>93000</v>
      </c>
      <c r="AA25" s="762">
        <f>'4_Fin-Stat'!AA24</f>
        <v>156000</v>
      </c>
    </row>
    <row r="26" spans="1:28">
      <c r="A26" s="784">
        <v>1730</v>
      </c>
      <c r="B26" s="784"/>
      <c r="C26" s="784" t="s">
        <v>202</v>
      </c>
      <c r="D26" s="784"/>
      <c r="E26" s="784"/>
      <c r="F26" s="762">
        <f>'4_Fin-Stat'!F25</f>
        <v>17079</v>
      </c>
      <c r="G26" s="762">
        <f>'4_Fin-Stat'!G25</f>
        <v>24826</v>
      </c>
      <c r="H26" s="762">
        <f>'4_Fin-Stat'!H25</f>
        <v>22846</v>
      </c>
      <c r="I26" s="762">
        <f>'4_Fin-Stat'!I25</f>
        <v>52417</v>
      </c>
      <c r="J26" s="762">
        <f>'4_Fin-Stat'!J25</f>
        <v>240509</v>
      </c>
      <c r="K26" s="762">
        <f>'4_Fin-Stat'!K25</f>
        <v>217195</v>
      </c>
      <c r="L26" s="762">
        <f>'4_Fin-Stat'!L25</f>
        <v>180746</v>
      </c>
      <c r="M26" s="762">
        <f>'4_Fin-Stat'!M25</f>
        <v>26594</v>
      </c>
      <c r="N26" s="762">
        <f>'4_Fin-Stat'!N25</f>
        <v>49592</v>
      </c>
      <c r="O26" s="762">
        <f>'4_Fin-Stat'!O25</f>
        <v>42358</v>
      </c>
      <c r="P26" s="762">
        <f>'4_Fin-Stat'!P25</f>
        <v>43633</v>
      </c>
      <c r="Q26" s="762">
        <f>'4_Fin-Stat'!Q25</f>
        <v>50053</v>
      </c>
      <c r="R26" s="762">
        <f>'4_Fin-Stat'!R25</f>
        <v>160383</v>
      </c>
      <c r="S26" s="762">
        <f>'4_Fin-Stat'!S25</f>
        <v>188000</v>
      </c>
      <c r="T26" s="762">
        <f>'4_Fin-Stat'!T25</f>
        <v>260000</v>
      </c>
      <c r="U26" s="762">
        <f>'4_Fin-Stat'!U25</f>
        <v>327000</v>
      </c>
      <c r="V26" s="762">
        <f>'4_Fin-Stat'!V25</f>
        <v>329000</v>
      </c>
      <c r="W26" s="762">
        <f>'4_Fin-Stat'!W25</f>
        <v>333000</v>
      </c>
      <c r="X26" s="762">
        <f>'4_Fin-Stat'!X25</f>
        <v>332000</v>
      </c>
      <c r="Y26" s="762">
        <f>'4_Fin-Stat'!Y25</f>
        <v>272000</v>
      </c>
      <c r="Z26" s="762">
        <f>'4_Fin-Stat'!Z25</f>
        <v>260000</v>
      </c>
      <c r="AA26" s="762">
        <f>'4_Fin-Stat'!AA25</f>
        <v>230000</v>
      </c>
    </row>
    <row r="27" spans="1:28">
      <c r="A27" s="784">
        <v>1780</v>
      </c>
      <c r="B27" s="784"/>
      <c r="C27" s="784" t="s">
        <v>156</v>
      </c>
      <c r="D27" s="784"/>
      <c r="E27" s="784"/>
      <c r="F27" s="762" t="e">
        <f>'4_Fin-Stat'!#REF!</f>
        <v>#REF!</v>
      </c>
      <c r="G27" s="762" t="e">
        <f>'4_Fin-Stat'!#REF!</f>
        <v>#REF!</v>
      </c>
      <c r="H27" s="762" t="e">
        <f>'4_Fin-Stat'!#REF!</f>
        <v>#REF!</v>
      </c>
      <c r="I27" s="762" t="e">
        <f>'4_Fin-Stat'!#REF!</f>
        <v>#REF!</v>
      </c>
      <c r="J27" s="762" t="e">
        <f>'4_Fin-Stat'!#REF!</f>
        <v>#REF!</v>
      </c>
      <c r="K27" s="762" t="e">
        <f>'4_Fin-Stat'!#REF!</f>
        <v>#REF!</v>
      </c>
      <c r="L27" s="762" t="e">
        <f>'4_Fin-Stat'!#REF!</f>
        <v>#REF!</v>
      </c>
      <c r="M27" s="762" t="e">
        <f>'4_Fin-Stat'!#REF!</f>
        <v>#REF!</v>
      </c>
      <c r="N27" s="762" t="e">
        <f>'4_Fin-Stat'!#REF!</f>
        <v>#REF!</v>
      </c>
      <c r="O27" s="762" t="e">
        <f>'4_Fin-Stat'!#REF!</f>
        <v>#REF!</v>
      </c>
      <c r="P27" s="762" t="e">
        <f>'4_Fin-Stat'!#REF!</f>
        <v>#REF!</v>
      </c>
      <c r="Q27" s="762" t="e">
        <f>'4_Fin-Stat'!#REF!</f>
        <v>#REF!</v>
      </c>
      <c r="R27" s="762" t="e">
        <f>'4_Fin-Stat'!#REF!</f>
        <v>#REF!</v>
      </c>
      <c r="S27" s="762" t="e">
        <f>'4_Fin-Stat'!#REF!</f>
        <v>#REF!</v>
      </c>
      <c r="T27" s="762" t="e">
        <f>'4_Fin-Stat'!#REF!</f>
        <v>#REF!</v>
      </c>
      <c r="U27" s="762" t="e">
        <f>'4_Fin-Stat'!#REF!</f>
        <v>#REF!</v>
      </c>
      <c r="V27" s="762" t="e">
        <f>'4_Fin-Stat'!#REF!</f>
        <v>#REF!</v>
      </c>
      <c r="W27" s="762" t="e">
        <f>'4_Fin-Stat'!#REF!</f>
        <v>#REF!</v>
      </c>
      <c r="X27" s="762" t="e">
        <f>'4_Fin-Stat'!#REF!</f>
        <v>#REF!</v>
      </c>
      <c r="Y27" s="762" t="e">
        <f>'4_Fin-Stat'!#REF!</f>
        <v>#REF!</v>
      </c>
      <c r="Z27" s="762" t="e">
        <f>'4_Fin-Stat'!#REF!</f>
        <v>#REF!</v>
      </c>
      <c r="AA27" s="762" t="e">
        <f>'4_Fin-Stat'!#REF!</f>
        <v>#REF!</v>
      </c>
    </row>
    <row r="28" spans="1:28">
      <c r="A28" s="784">
        <v>1500</v>
      </c>
      <c r="B28" s="784"/>
      <c r="C28" s="955" t="s">
        <v>130</v>
      </c>
      <c r="D28" s="784"/>
      <c r="E28" s="784"/>
      <c r="F28" s="762">
        <f>'4_Fin-Stat'!F28</f>
        <v>1819132</v>
      </c>
      <c r="G28" s="762">
        <f>'4_Fin-Stat'!G28</f>
        <v>2086591</v>
      </c>
      <c r="H28" s="762">
        <f>'4_Fin-Stat'!H28</f>
        <v>2225866</v>
      </c>
      <c r="I28" s="762">
        <f>'4_Fin-Stat'!I28</f>
        <v>2452025</v>
      </c>
      <c r="J28" s="762">
        <f>'4_Fin-Stat'!J28</f>
        <v>3162959</v>
      </c>
      <c r="K28" s="762">
        <f>'4_Fin-Stat'!K28</f>
        <v>3186769</v>
      </c>
      <c r="L28" s="762">
        <f>'4_Fin-Stat'!L28</f>
        <v>3592168</v>
      </c>
      <c r="M28" s="762">
        <f>'4_Fin-Stat'!M28</f>
        <v>4605643</v>
      </c>
      <c r="N28" s="762">
        <f>'4_Fin-Stat'!N28</f>
        <v>6120462</v>
      </c>
      <c r="O28" s="762">
        <f>'4_Fin-Stat'!O28</f>
        <v>6135215</v>
      </c>
      <c r="P28" s="762">
        <f>'4_Fin-Stat'!P28</f>
        <v>6164614</v>
      </c>
      <c r="Q28" s="762">
        <f>'4_Fin-Stat'!Q28</f>
        <v>7749818</v>
      </c>
      <c r="R28" s="762">
        <f>'4_Fin-Stat'!R28</f>
        <v>4939583</v>
      </c>
      <c r="S28" s="762">
        <f>'4_Fin-Stat'!S28</f>
        <v>5059544</v>
      </c>
      <c r="T28" s="762">
        <f>'4_Fin-Stat'!T28</f>
        <v>5300000</v>
      </c>
      <c r="U28" s="762">
        <f>'4_Fin-Stat'!U28</f>
        <v>5966000</v>
      </c>
      <c r="V28" s="762">
        <f>'4_Fin-Stat'!V28</f>
        <v>6076000</v>
      </c>
      <c r="W28" s="762">
        <f>'4_Fin-Stat'!W28</f>
        <v>5683000</v>
      </c>
      <c r="X28" s="762">
        <f>'4_Fin-Stat'!X28</f>
        <v>5708000</v>
      </c>
      <c r="Y28" s="762">
        <f>'4_Fin-Stat'!Y28</f>
        <v>5593000</v>
      </c>
      <c r="Z28" s="762">
        <f>'4_Fin-Stat'!Z28</f>
        <v>5627000</v>
      </c>
      <c r="AA28" s="762">
        <f>'4_Fin-Stat'!AA28</f>
        <v>5658000</v>
      </c>
      <c r="AB28" s="50"/>
    </row>
    <row r="29" spans="1:28">
      <c r="A29" s="784">
        <v>1500</v>
      </c>
      <c r="B29" s="784"/>
      <c r="C29" s="955" t="s">
        <v>157</v>
      </c>
      <c r="D29" s="784"/>
      <c r="E29" s="784"/>
      <c r="F29" s="762" t="e">
        <f>'4_Fin-Stat'!F29</f>
        <v>#REF!</v>
      </c>
      <c r="G29" s="762" t="e">
        <f>'4_Fin-Stat'!G29</f>
        <v>#REF!</v>
      </c>
      <c r="H29" s="762" t="e">
        <f>'4_Fin-Stat'!H29</f>
        <v>#REF!</v>
      </c>
      <c r="I29" s="762" t="e">
        <f>'4_Fin-Stat'!I29</f>
        <v>#REF!</v>
      </c>
      <c r="J29" s="762" t="e">
        <f>'4_Fin-Stat'!J29</f>
        <v>#REF!</v>
      </c>
      <c r="K29" s="762" t="e">
        <f>'4_Fin-Stat'!K29</f>
        <v>#REF!</v>
      </c>
      <c r="L29" s="762" t="e">
        <f>'4_Fin-Stat'!L29</f>
        <v>#REF!</v>
      </c>
      <c r="M29" s="762" t="e">
        <f>'4_Fin-Stat'!M29</f>
        <v>#REF!</v>
      </c>
      <c r="N29" s="762" t="e">
        <f>'4_Fin-Stat'!N29</f>
        <v>#REF!</v>
      </c>
      <c r="O29" s="762" t="e">
        <f>'4_Fin-Stat'!O29</f>
        <v>#REF!</v>
      </c>
      <c r="P29" s="762" t="e">
        <f>'4_Fin-Stat'!P29</f>
        <v>#REF!</v>
      </c>
      <c r="Q29" s="762" t="e">
        <f>'4_Fin-Stat'!Q29</f>
        <v>#REF!</v>
      </c>
      <c r="R29" s="762">
        <f>'4_Fin-Stat'!R29</f>
        <v>289263</v>
      </c>
      <c r="S29" s="762">
        <f>'4_Fin-Stat'!S29</f>
        <v>301486</v>
      </c>
      <c r="T29" s="762">
        <f>'4_Fin-Stat'!T29</f>
        <v>231000</v>
      </c>
      <c r="U29" s="762">
        <f>'4_Fin-Stat'!U29</f>
        <v>233000</v>
      </c>
      <c r="V29" s="762">
        <f>'4_Fin-Stat'!V29</f>
        <v>252000</v>
      </c>
      <c r="W29" s="762">
        <f>'4_Fin-Stat'!W29</f>
        <v>243000</v>
      </c>
      <c r="X29" s="762">
        <f>'4_Fin-Stat'!X29</f>
        <v>30000</v>
      </c>
      <c r="Y29" s="762">
        <f>'4_Fin-Stat'!Y29</f>
        <v>108000</v>
      </c>
      <c r="Z29" s="762">
        <f>'4_Fin-Stat'!Z29</f>
        <v>111000</v>
      </c>
      <c r="AA29" s="762">
        <f>'4_Fin-Stat'!AA29</f>
        <v>119000</v>
      </c>
      <c r="AB29" s="50"/>
    </row>
    <row r="30" spans="1:28">
      <c r="A30" s="784">
        <v>1520</v>
      </c>
      <c r="B30" s="784"/>
      <c r="C30" s="784" t="s">
        <v>159</v>
      </c>
      <c r="D30" s="784"/>
      <c r="E30" s="784"/>
      <c r="F30" s="785" t="e">
        <f>'4_Fin-Stat'!F32</f>
        <v>#REF!</v>
      </c>
      <c r="G30" s="785" t="e">
        <f>'4_Fin-Stat'!G32</f>
        <v>#REF!</v>
      </c>
      <c r="H30" s="785" t="e">
        <f>'4_Fin-Stat'!H32</f>
        <v>#REF!</v>
      </c>
      <c r="I30" s="785" t="e">
        <f>'4_Fin-Stat'!I32</f>
        <v>#REF!</v>
      </c>
      <c r="J30" s="785" t="e">
        <f>'4_Fin-Stat'!J32</f>
        <v>#REF!</v>
      </c>
      <c r="K30" s="785" t="e">
        <f>'4_Fin-Stat'!K32</f>
        <v>#REF!</v>
      </c>
      <c r="L30" s="785" t="e">
        <f>'4_Fin-Stat'!L32</f>
        <v>#REF!</v>
      </c>
      <c r="M30" s="785" t="e">
        <f>'4_Fin-Stat'!M32</f>
        <v>#REF!</v>
      </c>
      <c r="N30" s="785" t="e">
        <f>'4_Fin-Stat'!N32</f>
        <v>#REF!</v>
      </c>
      <c r="O30" s="785" t="e">
        <f>'4_Fin-Stat'!O32</f>
        <v>#REF!</v>
      </c>
      <c r="P30" s="785" t="e">
        <f>'4_Fin-Stat'!P32</f>
        <v>#REF!</v>
      </c>
      <c r="Q30" s="785" t="e">
        <f>'4_Fin-Stat'!Q32</f>
        <v>#REF!</v>
      </c>
      <c r="R30" s="785">
        <f>'4_Fin-Stat'!R32</f>
        <v>509774</v>
      </c>
      <c r="S30" s="785">
        <f>'4_Fin-Stat'!S32</f>
        <v>851620</v>
      </c>
      <c r="T30" s="785">
        <f>'4_Fin-Stat'!T32</f>
        <v>868000</v>
      </c>
      <c r="U30" s="785">
        <f>'4_Fin-Stat'!U32</f>
        <v>380000</v>
      </c>
      <c r="V30" s="785">
        <f>'4_Fin-Stat'!V32</f>
        <v>318000</v>
      </c>
      <c r="W30" s="785">
        <f>'4_Fin-Stat'!W32</f>
        <v>216000</v>
      </c>
      <c r="X30" s="785">
        <f>'4_Fin-Stat'!X32</f>
        <v>221000</v>
      </c>
      <c r="Y30" s="785">
        <f>'4_Fin-Stat'!Y32</f>
        <v>151000</v>
      </c>
      <c r="Z30" s="785">
        <f>'4_Fin-Stat'!Z32</f>
        <v>156000</v>
      </c>
      <c r="AA30" s="785">
        <f>'4_Fin-Stat'!AA32</f>
        <v>197000</v>
      </c>
      <c r="AB30" s="50"/>
    </row>
    <row r="31" spans="1:28">
      <c r="A31" s="784"/>
      <c r="B31" s="784"/>
      <c r="C31" s="955" t="s">
        <v>158</v>
      </c>
      <c r="D31" s="955"/>
      <c r="E31" s="784"/>
      <c r="F31" s="762" t="e">
        <f t="shared" ref="F31:AA31" si="6">SUM(F28:F30)</f>
        <v>#REF!</v>
      </c>
      <c r="G31" s="762" t="e">
        <f t="shared" si="6"/>
        <v>#REF!</v>
      </c>
      <c r="H31" s="762" t="e">
        <f t="shared" si="6"/>
        <v>#REF!</v>
      </c>
      <c r="I31" s="762" t="e">
        <f t="shared" si="6"/>
        <v>#REF!</v>
      </c>
      <c r="J31" s="762" t="e">
        <f t="shared" si="6"/>
        <v>#REF!</v>
      </c>
      <c r="K31" s="762" t="e">
        <f t="shared" si="6"/>
        <v>#REF!</v>
      </c>
      <c r="L31" s="762" t="e">
        <f t="shared" si="6"/>
        <v>#REF!</v>
      </c>
      <c r="M31" s="762" t="e">
        <f t="shared" si="6"/>
        <v>#REF!</v>
      </c>
      <c r="N31" s="762" t="e">
        <f t="shared" si="6"/>
        <v>#REF!</v>
      </c>
      <c r="O31" s="762" t="e">
        <f t="shared" si="6"/>
        <v>#REF!</v>
      </c>
      <c r="P31" s="762" t="e">
        <f t="shared" si="6"/>
        <v>#REF!</v>
      </c>
      <c r="Q31" s="762" t="e">
        <f t="shared" si="6"/>
        <v>#REF!</v>
      </c>
      <c r="R31" s="762">
        <f t="shared" si="6"/>
        <v>5738620</v>
      </c>
      <c r="S31" s="762">
        <f t="shared" si="6"/>
        <v>6212650</v>
      </c>
      <c r="T31" s="762">
        <f t="shared" si="6"/>
        <v>6399000</v>
      </c>
      <c r="U31" s="762">
        <f t="shared" si="6"/>
        <v>6579000</v>
      </c>
      <c r="V31" s="762">
        <f t="shared" si="6"/>
        <v>6646000</v>
      </c>
      <c r="W31" s="762">
        <f t="shared" si="6"/>
        <v>6142000</v>
      </c>
      <c r="X31" s="762">
        <f t="shared" si="6"/>
        <v>5959000</v>
      </c>
      <c r="Y31" s="762">
        <f t="shared" si="6"/>
        <v>5852000</v>
      </c>
      <c r="Z31" s="762">
        <f t="shared" si="6"/>
        <v>5894000</v>
      </c>
      <c r="AA31" s="762">
        <f t="shared" si="6"/>
        <v>5974000</v>
      </c>
    </row>
    <row r="32" spans="1:28">
      <c r="A32" s="784">
        <v>1610</v>
      </c>
      <c r="B32" s="784"/>
      <c r="C32" s="784" t="s">
        <v>161</v>
      </c>
      <c r="D32" s="784"/>
      <c r="E32" s="784"/>
      <c r="F32" s="762">
        <f>'4_Fin-Stat'!F36</f>
        <v>-13424</v>
      </c>
      <c r="G32" s="762">
        <f>'4_Fin-Stat'!G36</f>
        <v>-57731</v>
      </c>
      <c r="H32" s="762">
        <f>'4_Fin-Stat'!H36</f>
        <v>-118744</v>
      </c>
      <c r="I32" s="762">
        <f>'4_Fin-Stat'!I36</f>
        <v>-154202</v>
      </c>
      <c r="J32" s="762">
        <f>'4_Fin-Stat'!J36</f>
        <v>-8228</v>
      </c>
      <c r="K32" s="762">
        <f>'4_Fin-Stat'!K36</f>
        <v>-72988</v>
      </c>
      <c r="L32" s="762">
        <f>'4_Fin-Stat'!L36</f>
        <v>-148127</v>
      </c>
      <c r="M32" s="762">
        <f>'4_Fin-Stat'!M36</f>
        <v>0</v>
      </c>
      <c r="N32" s="762">
        <f>'4_Fin-Stat'!N36</f>
        <v>0</v>
      </c>
      <c r="O32" s="762">
        <f>'4_Fin-Stat'!O36</f>
        <v>-129256</v>
      </c>
      <c r="P32" s="762">
        <f>'4_Fin-Stat'!P36</f>
        <v>-260394</v>
      </c>
      <c r="Q32" s="762">
        <f>'4_Fin-Stat'!Q36</f>
        <v>-2302</v>
      </c>
      <c r="R32" s="762">
        <f>'4_Fin-Stat'!R36</f>
        <v>-978055</v>
      </c>
      <c r="S32" s="762">
        <f>'4_Fin-Stat'!S36</f>
        <v>-1105369</v>
      </c>
      <c r="T32" s="762">
        <f>'4_Fin-Stat'!T36</f>
        <v>-1259000</v>
      </c>
      <c r="U32" s="762">
        <f>'4_Fin-Stat'!U36</f>
        <v>-1426000</v>
      </c>
      <c r="V32" s="762">
        <f>'4_Fin-Stat'!V36</f>
        <v>-1601000</v>
      </c>
      <c r="W32" s="762">
        <f>'4_Fin-Stat'!W36</f>
        <v>-1473000</v>
      </c>
      <c r="X32" s="762">
        <f>'4_Fin-Stat'!X36</f>
        <v>-1663000</v>
      </c>
      <c r="Y32" s="762">
        <f>'4_Fin-Stat'!Y36</f>
        <v>-1659000</v>
      </c>
      <c r="Z32" s="762">
        <f>'4_Fin-Stat'!Z36</f>
        <v>-1828000</v>
      </c>
      <c r="AA32" s="762">
        <f>'4_Fin-Stat'!AA36</f>
        <v>-2009000</v>
      </c>
      <c r="AB32" s="50"/>
    </row>
    <row r="33" spans="1:28">
      <c r="A33" s="784">
        <v>1610</v>
      </c>
      <c r="B33" s="784"/>
      <c r="C33" s="784" t="s">
        <v>161</v>
      </c>
      <c r="D33" s="784"/>
      <c r="E33" s="784"/>
      <c r="F33" s="785" t="e">
        <f>'4_Fin-Stat'!#REF!</f>
        <v>#REF!</v>
      </c>
      <c r="G33" s="785" t="e">
        <f>'4_Fin-Stat'!#REF!</f>
        <v>#REF!</v>
      </c>
      <c r="H33" s="785" t="e">
        <f>'4_Fin-Stat'!#REF!</f>
        <v>#REF!</v>
      </c>
      <c r="I33" s="785" t="e">
        <f>'4_Fin-Stat'!#REF!</f>
        <v>#REF!</v>
      </c>
      <c r="J33" s="785" t="e">
        <f>'4_Fin-Stat'!#REF!</f>
        <v>#REF!</v>
      </c>
      <c r="K33" s="785" t="e">
        <f>'4_Fin-Stat'!#REF!</f>
        <v>#REF!</v>
      </c>
      <c r="L33" s="785" t="e">
        <f>'4_Fin-Stat'!#REF!</f>
        <v>#REF!</v>
      </c>
      <c r="M33" s="785" t="e">
        <f>'4_Fin-Stat'!#REF!</f>
        <v>#REF!</v>
      </c>
      <c r="N33" s="785" t="e">
        <f>'4_Fin-Stat'!#REF!</f>
        <v>#REF!</v>
      </c>
      <c r="O33" s="785" t="e">
        <f>'4_Fin-Stat'!#REF!</f>
        <v>#REF!</v>
      </c>
      <c r="P33" s="785" t="e">
        <f>'4_Fin-Stat'!#REF!</f>
        <v>#REF!</v>
      </c>
      <c r="Q33" s="785" t="e">
        <f>'4_Fin-Stat'!#REF!</f>
        <v>#REF!</v>
      </c>
      <c r="R33" s="785" t="e">
        <f>'4_Fin-Stat'!#REF!</f>
        <v>#REF!</v>
      </c>
      <c r="S33" s="785" t="e">
        <f>'4_Fin-Stat'!#REF!</f>
        <v>#REF!</v>
      </c>
      <c r="T33" s="785" t="e">
        <f>'4_Fin-Stat'!#REF!</f>
        <v>#REF!</v>
      </c>
      <c r="U33" s="785" t="e">
        <f>'4_Fin-Stat'!#REF!</f>
        <v>#REF!</v>
      </c>
      <c r="V33" s="785" t="e">
        <f>'4_Fin-Stat'!#REF!</f>
        <v>#REF!</v>
      </c>
      <c r="W33" s="785" t="e">
        <f>'4_Fin-Stat'!#REF!</f>
        <v>#REF!</v>
      </c>
      <c r="X33" s="785" t="e">
        <f>'4_Fin-Stat'!#REF!</f>
        <v>#REF!</v>
      </c>
      <c r="Y33" s="785" t="e">
        <f>'4_Fin-Stat'!#REF!</f>
        <v>#REF!</v>
      </c>
      <c r="Z33" s="785" t="e">
        <f>'4_Fin-Stat'!#REF!</f>
        <v>#REF!</v>
      </c>
      <c r="AA33" s="785" t="e">
        <f>'4_Fin-Stat'!#REF!</f>
        <v>#REF!</v>
      </c>
      <c r="AB33" s="50"/>
    </row>
    <row r="34" spans="1:28">
      <c r="A34" s="784"/>
      <c r="B34" s="784"/>
      <c r="C34" s="784" t="s">
        <v>163</v>
      </c>
      <c r="D34" s="784"/>
      <c r="E34" s="784"/>
      <c r="F34" s="785" t="e">
        <f t="shared" ref="F34:AA34" si="7">SUM(F32:F33)</f>
        <v>#REF!</v>
      </c>
      <c r="G34" s="785" t="e">
        <f t="shared" si="7"/>
        <v>#REF!</v>
      </c>
      <c r="H34" s="785" t="e">
        <f t="shared" si="7"/>
        <v>#REF!</v>
      </c>
      <c r="I34" s="785" t="e">
        <f t="shared" si="7"/>
        <v>#REF!</v>
      </c>
      <c r="J34" s="785" t="e">
        <f t="shared" si="7"/>
        <v>#REF!</v>
      </c>
      <c r="K34" s="785" t="e">
        <f t="shared" si="7"/>
        <v>#REF!</v>
      </c>
      <c r="L34" s="785" t="e">
        <f t="shared" si="7"/>
        <v>#REF!</v>
      </c>
      <c r="M34" s="785" t="e">
        <f t="shared" si="7"/>
        <v>#REF!</v>
      </c>
      <c r="N34" s="785" t="e">
        <f t="shared" si="7"/>
        <v>#REF!</v>
      </c>
      <c r="O34" s="785" t="e">
        <f t="shared" si="7"/>
        <v>#REF!</v>
      </c>
      <c r="P34" s="785" t="e">
        <f t="shared" si="7"/>
        <v>#REF!</v>
      </c>
      <c r="Q34" s="785" t="e">
        <f t="shared" si="7"/>
        <v>#REF!</v>
      </c>
      <c r="R34" s="785" t="e">
        <f t="shared" si="7"/>
        <v>#REF!</v>
      </c>
      <c r="S34" s="785" t="e">
        <f t="shared" si="7"/>
        <v>#REF!</v>
      </c>
      <c r="T34" s="785" t="e">
        <f t="shared" si="7"/>
        <v>#REF!</v>
      </c>
      <c r="U34" s="785" t="e">
        <f t="shared" si="7"/>
        <v>#REF!</v>
      </c>
      <c r="V34" s="785" t="e">
        <f t="shared" si="7"/>
        <v>#REF!</v>
      </c>
      <c r="W34" s="785" t="e">
        <f t="shared" si="7"/>
        <v>#REF!</v>
      </c>
      <c r="X34" s="785" t="e">
        <f t="shared" si="7"/>
        <v>#REF!</v>
      </c>
      <c r="Y34" s="785" t="e">
        <f t="shared" si="7"/>
        <v>#REF!</v>
      </c>
      <c r="Z34" s="785" t="e">
        <f t="shared" si="7"/>
        <v>#REF!</v>
      </c>
      <c r="AA34" s="785" t="e">
        <f t="shared" si="7"/>
        <v>#REF!</v>
      </c>
    </row>
    <row r="35" spans="1:28">
      <c r="A35" s="784"/>
      <c r="B35" s="784"/>
      <c r="C35" s="784" t="s">
        <v>164</v>
      </c>
      <c r="D35" s="784"/>
      <c r="E35" s="784"/>
      <c r="F35" s="762" t="e">
        <f t="shared" ref="F35:AA35" si="8">F31+F34</f>
        <v>#REF!</v>
      </c>
      <c r="G35" s="762" t="e">
        <f t="shared" si="8"/>
        <v>#REF!</v>
      </c>
      <c r="H35" s="762" t="e">
        <f t="shared" si="8"/>
        <v>#REF!</v>
      </c>
      <c r="I35" s="762" t="e">
        <f t="shared" si="8"/>
        <v>#REF!</v>
      </c>
      <c r="J35" s="762" t="e">
        <f t="shared" si="8"/>
        <v>#REF!</v>
      </c>
      <c r="K35" s="762" t="e">
        <f t="shared" si="8"/>
        <v>#REF!</v>
      </c>
      <c r="L35" s="762" t="e">
        <f t="shared" si="8"/>
        <v>#REF!</v>
      </c>
      <c r="M35" s="762" t="e">
        <f t="shared" si="8"/>
        <v>#REF!</v>
      </c>
      <c r="N35" s="762" t="e">
        <f t="shared" si="8"/>
        <v>#REF!</v>
      </c>
      <c r="O35" s="762" t="e">
        <f t="shared" si="8"/>
        <v>#REF!</v>
      </c>
      <c r="P35" s="762" t="e">
        <f t="shared" si="8"/>
        <v>#REF!</v>
      </c>
      <c r="Q35" s="762" t="e">
        <f t="shared" si="8"/>
        <v>#REF!</v>
      </c>
      <c r="R35" s="762" t="e">
        <f t="shared" si="8"/>
        <v>#REF!</v>
      </c>
      <c r="S35" s="762" t="e">
        <f t="shared" si="8"/>
        <v>#REF!</v>
      </c>
      <c r="T35" s="762" t="e">
        <f t="shared" si="8"/>
        <v>#REF!</v>
      </c>
      <c r="U35" s="762" t="e">
        <f t="shared" si="8"/>
        <v>#REF!</v>
      </c>
      <c r="V35" s="762" t="e">
        <f t="shared" si="8"/>
        <v>#REF!</v>
      </c>
      <c r="W35" s="762" t="e">
        <f t="shared" si="8"/>
        <v>#REF!</v>
      </c>
      <c r="X35" s="762" t="e">
        <f t="shared" si="8"/>
        <v>#REF!</v>
      </c>
      <c r="Y35" s="762" t="e">
        <f t="shared" si="8"/>
        <v>#REF!</v>
      </c>
      <c r="Z35" s="762" t="e">
        <f t="shared" si="8"/>
        <v>#REF!</v>
      </c>
      <c r="AA35" s="762" t="e">
        <f t="shared" si="8"/>
        <v>#REF!</v>
      </c>
    </row>
    <row r="36" spans="1:28">
      <c r="A36" s="784"/>
      <c r="B36" s="784"/>
      <c r="C36" s="784"/>
      <c r="D36" s="784"/>
      <c r="E36" s="784"/>
      <c r="F36" s="762"/>
      <c r="G36" s="762"/>
      <c r="H36" s="762"/>
      <c r="I36" s="762"/>
      <c r="J36" s="762"/>
      <c r="K36" s="762"/>
      <c r="L36" s="762"/>
      <c r="M36" s="762"/>
      <c r="N36" s="762"/>
      <c r="O36" s="762"/>
      <c r="P36" s="762"/>
      <c r="Q36" s="762"/>
      <c r="R36" s="762"/>
      <c r="S36" s="762"/>
      <c r="T36" s="762"/>
      <c r="U36" s="762"/>
      <c r="V36" s="762"/>
      <c r="W36" s="762"/>
      <c r="X36" s="762"/>
      <c r="Y36" s="762"/>
      <c r="Z36" s="762"/>
      <c r="AA36" s="762"/>
    </row>
    <row r="37" spans="1:28" ht="13.5" thickBot="1">
      <c r="A37" s="336"/>
      <c r="B37" s="338"/>
      <c r="C37" s="336" t="s">
        <v>165</v>
      </c>
      <c r="D37" s="336"/>
      <c r="E37" s="338"/>
      <c r="F37" s="956" t="e">
        <f t="shared" ref="F37:AA37" si="9">F23+SUM(F24:F27)+F35</f>
        <v>#REF!</v>
      </c>
      <c r="G37" s="956" t="e">
        <f t="shared" si="9"/>
        <v>#REF!</v>
      </c>
      <c r="H37" s="956" t="e">
        <f t="shared" si="9"/>
        <v>#REF!</v>
      </c>
      <c r="I37" s="956" t="e">
        <f t="shared" si="9"/>
        <v>#REF!</v>
      </c>
      <c r="J37" s="956" t="e">
        <f t="shared" si="9"/>
        <v>#REF!</v>
      </c>
      <c r="K37" s="956" t="e">
        <f t="shared" si="9"/>
        <v>#REF!</v>
      </c>
      <c r="L37" s="956" t="e">
        <f t="shared" si="9"/>
        <v>#REF!</v>
      </c>
      <c r="M37" s="956" t="e">
        <f t="shared" si="9"/>
        <v>#REF!</v>
      </c>
      <c r="N37" s="956" t="e">
        <f t="shared" si="9"/>
        <v>#REF!</v>
      </c>
      <c r="O37" s="956" t="e">
        <f t="shared" si="9"/>
        <v>#REF!</v>
      </c>
      <c r="P37" s="956" t="e">
        <f t="shared" si="9"/>
        <v>#REF!</v>
      </c>
      <c r="Q37" s="956" t="e">
        <f t="shared" si="9"/>
        <v>#REF!</v>
      </c>
      <c r="R37" s="956" t="e">
        <f t="shared" si="9"/>
        <v>#REF!</v>
      </c>
      <c r="S37" s="956" t="e">
        <f t="shared" si="9"/>
        <v>#REF!</v>
      </c>
      <c r="T37" s="956" t="e">
        <f t="shared" si="9"/>
        <v>#REF!</v>
      </c>
      <c r="U37" s="956" t="e">
        <f t="shared" si="9"/>
        <v>#REF!</v>
      </c>
      <c r="V37" s="956" t="e">
        <f t="shared" si="9"/>
        <v>#REF!</v>
      </c>
      <c r="W37" s="956" t="e">
        <f t="shared" si="9"/>
        <v>#REF!</v>
      </c>
      <c r="X37" s="956" t="e">
        <f t="shared" si="9"/>
        <v>#REF!</v>
      </c>
      <c r="Y37" s="956" t="e">
        <f t="shared" si="9"/>
        <v>#REF!</v>
      </c>
      <c r="Z37" s="956" t="e">
        <f t="shared" si="9"/>
        <v>#REF!</v>
      </c>
      <c r="AA37" s="956" t="e">
        <f t="shared" si="9"/>
        <v>#REF!</v>
      </c>
    </row>
    <row r="38" spans="1:28" ht="16.5" thickTop="1">
      <c r="A38" s="621" t="s">
        <v>193</v>
      </c>
      <c r="B38" s="621"/>
      <c r="C38" s="621"/>
      <c r="D38" s="1014"/>
      <c r="E38" s="963" t="e">
        <f>#REF!</f>
        <v>#REF!</v>
      </c>
      <c r="F38" s="1618" t="e">
        <f>#REF!</f>
        <v>#REF!</v>
      </c>
      <c r="G38" s="1618"/>
      <c r="H38" s="765"/>
      <c r="I38" s="1620" t="s">
        <v>430</v>
      </c>
      <c r="J38" s="1620"/>
      <c r="K38" s="1620"/>
      <c r="L38" s="1619">
        <f ca="1">NOW()</f>
        <v>44595.448909606479</v>
      </c>
      <c r="M38" s="1619"/>
      <c r="N38" s="1619"/>
      <c r="O38" s="751"/>
      <c r="P38" s="715">
        <v>0.52708333333333335</v>
      </c>
      <c r="Q38" s="684"/>
      <c r="R38" s="684"/>
      <c r="S38" s="684"/>
      <c r="T38" s="684"/>
      <c r="U38" s="684"/>
      <c r="V38" s="684"/>
      <c r="W38" s="684"/>
      <c r="X38" s="684"/>
      <c r="Y38" s="751"/>
      <c r="Z38" s="684"/>
      <c r="AA38" s="746" t="s">
        <v>429</v>
      </c>
    </row>
    <row r="39" spans="1:28">
      <c r="A39" s="757" t="s">
        <v>20</v>
      </c>
      <c r="B39" s="625"/>
      <c r="C39" s="626"/>
      <c r="D39" s="626"/>
      <c r="E39" s="627"/>
      <c r="F39" s="620">
        <v>1999</v>
      </c>
      <c r="G39" s="620">
        <f t="shared" ref="G39:AA39" si="10">F39+1</f>
        <v>2000</v>
      </c>
      <c r="H39" s="620">
        <f t="shared" si="10"/>
        <v>2001</v>
      </c>
      <c r="I39" s="620">
        <f t="shared" si="10"/>
        <v>2002</v>
      </c>
      <c r="J39" s="620">
        <f t="shared" si="10"/>
        <v>2003</v>
      </c>
      <c r="K39" s="620">
        <f t="shared" si="10"/>
        <v>2004</v>
      </c>
      <c r="L39" s="620">
        <f t="shared" si="10"/>
        <v>2005</v>
      </c>
      <c r="M39" s="620">
        <f t="shared" si="10"/>
        <v>2006</v>
      </c>
      <c r="N39" s="620">
        <f t="shared" si="10"/>
        <v>2007</v>
      </c>
      <c r="O39" s="620">
        <f t="shared" si="10"/>
        <v>2008</v>
      </c>
      <c r="P39" s="620">
        <f t="shared" si="10"/>
        <v>2009</v>
      </c>
      <c r="Q39" s="620">
        <f t="shared" si="10"/>
        <v>2010</v>
      </c>
      <c r="R39" s="620">
        <f t="shared" si="10"/>
        <v>2011</v>
      </c>
      <c r="S39" s="620">
        <f t="shared" si="10"/>
        <v>2012</v>
      </c>
      <c r="T39" s="620">
        <f t="shared" si="10"/>
        <v>2013</v>
      </c>
      <c r="U39" s="620">
        <f t="shared" si="10"/>
        <v>2014</v>
      </c>
      <c r="V39" s="620">
        <f t="shared" si="10"/>
        <v>2015</v>
      </c>
      <c r="W39" s="620">
        <f t="shared" si="10"/>
        <v>2016</v>
      </c>
      <c r="X39" s="620">
        <f t="shared" si="10"/>
        <v>2017</v>
      </c>
      <c r="Y39" s="620">
        <f t="shared" si="10"/>
        <v>2018</v>
      </c>
      <c r="Z39" s="620">
        <f t="shared" si="10"/>
        <v>2019</v>
      </c>
      <c r="AA39" s="620">
        <f t="shared" si="10"/>
        <v>2020</v>
      </c>
    </row>
    <row r="40" spans="1:28">
      <c r="A40" s="784">
        <v>2040</v>
      </c>
      <c r="B40" s="784"/>
      <c r="C40" s="784" t="s">
        <v>324</v>
      </c>
      <c r="D40" s="784"/>
      <c r="E40" s="784"/>
      <c r="F40" s="762" t="e">
        <f>'4_Fin-Stat'!F44+'4_Fin-Stat'!#REF!</f>
        <v>#REF!</v>
      </c>
      <c r="G40" s="762" t="e">
        <f>'4_Fin-Stat'!G44+'4_Fin-Stat'!#REF!</f>
        <v>#REF!</v>
      </c>
      <c r="H40" s="762" t="e">
        <f>'4_Fin-Stat'!H44+'4_Fin-Stat'!#REF!</f>
        <v>#REF!</v>
      </c>
      <c r="I40" s="762" t="e">
        <f>'4_Fin-Stat'!I44+'4_Fin-Stat'!#REF!</f>
        <v>#REF!</v>
      </c>
      <c r="J40" s="762" t="e">
        <f>'4_Fin-Stat'!J44+'4_Fin-Stat'!#REF!</f>
        <v>#REF!</v>
      </c>
      <c r="K40" s="762" t="e">
        <f>'4_Fin-Stat'!K44+'4_Fin-Stat'!#REF!</f>
        <v>#REF!</v>
      </c>
      <c r="L40" s="762" t="e">
        <f>'4_Fin-Stat'!L44+'4_Fin-Stat'!#REF!</f>
        <v>#REF!</v>
      </c>
      <c r="M40" s="762" t="e">
        <f>'4_Fin-Stat'!M44+'4_Fin-Stat'!#REF!</f>
        <v>#REF!</v>
      </c>
      <c r="N40" s="762" t="e">
        <f>'4_Fin-Stat'!N44+'4_Fin-Stat'!#REF!</f>
        <v>#REF!</v>
      </c>
      <c r="O40" s="762" t="e">
        <f>'4_Fin-Stat'!O44+'4_Fin-Stat'!#REF!</f>
        <v>#REF!</v>
      </c>
      <c r="P40" s="762" t="e">
        <f>'4_Fin-Stat'!P44+'4_Fin-Stat'!#REF!</f>
        <v>#REF!</v>
      </c>
      <c r="Q40" s="762" t="e">
        <f>'4_Fin-Stat'!Q44+'4_Fin-Stat'!#REF!</f>
        <v>#REF!</v>
      </c>
      <c r="R40" s="762" t="e">
        <f>'4_Fin-Stat'!R44+'4_Fin-Stat'!#REF!</f>
        <v>#REF!</v>
      </c>
      <c r="S40" s="762" t="e">
        <f>'4_Fin-Stat'!S44+'4_Fin-Stat'!#REF!</f>
        <v>#REF!</v>
      </c>
      <c r="T40" s="762" t="e">
        <f>'4_Fin-Stat'!T44+'4_Fin-Stat'!#REF!</f>
        <v>#REF!</v>
      </c>
      <c r="U40" s="762" t="e">
        <f>'4_Fin-Stat'!U44+'4_Fin-Stat'!#REF!</f>
        <v>#REF!</v>
      </c>
      <c r="V40" s="762" t="e">
        <f>'4_Fin-Stat'!V44+'4_Fin-Stat'!#REF!</f>
        <v>#REF!</v>
      </c>
      <c r="W40" s="762" t="e">
        <f>'4_Fin-Stat'!W44+'4_Fin-Stat'!#REF!</f>
        <v>#REF!</v>
      </c>
      <c r="X40" s="762" t="e">
        <f>'4_Fin-Stat'!X44+'4_Fin-Stat'!#REF!</f>
        <v>#REF!</v>
      </c>
      <c r="Y40" s="762" t="e">
        <f>'4_Fin-Stat'!Y44+'4_Fin-Stat'!#REF!</f>
        <v>#REF!</v>
      </c>
      <c r="Z40" s="762" t="e">
        <f>'4_Fin-Stat'!Z44+'4_Fin-Stat'!#REF!</f>
        <v>#REF!</v>
      </c>
      <c r="AA40" s="762" t="e">
        <f>'4_Fin-Stat'!AA44+'4_Fin-Stat'!#REF!</f>
        <v>#REF!</v>
      </c>
    </row>
    <row r="41" spans="1:28">
      <c r="A41" s="784">
        <v>2100</v>
      </c>
      <c r="B41" s="784"/>
      <c r="C41" s="784" t="s">
        <v>168</v>
      </c>
      <c r="D41" s="784"/>
      <c r="E41" s="784"/>
      <c r="F41" s="762" t="e">
        <f>'4_Fin-Stat'!#REF!</f>
        <v>#REF!</v>
      </c>
      <c r="G41" s="762" t="e">
        <f>'4_Fin-Stat'!#REF!</f>
        <v>#REF!</v>
      </c>
      <c r="H41" s="762" t="e">
        <f>'4_Fin-Stat'!#REF!</f>
        <v>#REF!</v>
      </c>
      <c r="I41" s="762" t="e">
        <f>'4_Fin-Stat'!#REF!</f>
        <v>#REF!</v>
      </c>
      <c r="J41" s="762" t="e">
        <f>'4_Fin-Stat'!#REF!</f>
        <v>#REF!</v>
      </c>
      <c r="K41" s="762" t="e">
        <f>'4_Fin-Stat'!#REF!</f>
        <v>#REF!</v>
      </c>
      <c r="L41" s="762" t="e">
        <f>'4_Fin-Stat'!#REF!</f>
        <v>#REF!</v>
      </c>
      <c r="M41" s="762" t="e">
        <f>'4_Fin-Stat'!#REF!</f>
        <v>#REF!</v>
      </c>
      <c r="N41" s="762" t="e">
        <f>'4_Fin-Stat'!#REF!</f>
        <v>#REF!</v>
      </c>
      <c r="O41" s="762" t="e">
        <f>'4_Fin-Stat'!#REF!</f>
        <v>#REF!</v>
      </c>
      <c r="P41" s="762" t="e">
        <f>'4_Fin-Stat'!#REF!</f>
        <v>#REF!</v>
      </c>
      <c r="Q41" s="762" t="e">
        <f>'4_Fin-Stat'!#REF!</f>
        <v>#REF!</v>
      </c>
      <c r="R41" s="762" t="e">
        <f>'4_Fin-Stat'!#REF!</f>
        <v>#REF!</v>
      </c>
      <c r="S41" s="762" t="e">
        <f>'4_Fin-Stat'!#REF!</f>
        <v>#REF!</v>
      </c>
      <c r="T41" s="762" t="e">
        <f>'4_Fin-Stat'!#REF!</f>
        <v>#REF!</v>
      </c>
      <c r="U41" s="762" t="e">
        <f>'4_Fin-Stat'!#REF!</f>
        <v>#REF!</v>
      </c>
      <c r="V41" s="762" t="e">
        <f>'4_Fin-Stat'!#REF!</f>
        <v>#REF!</v>
      </c>
      <c r="W41" s="762" t="e">
        <f>'4_Fin-Stat'!#REF!</f>
        <v>#REF!</v>
      </c>
      <c r="X41" s="762" t="e">
        <f>'4_Fin-Stat'!#REF!</f>
        <v>#REF!</v>
      </c>
      <c r="Y41" s="762" t="e">
        <f>'4_Fin-Stat'!#REF!</f>
        <v>#REF!</v>
      </c>
      <c r="Z41" s="762" t="e">
        <f>'4_Fin-Stat'!#REF!</f>
        <v>#REF!</v>
      </c>
      <c r="AA41" s="762" t="e">
        <f>'4_Fin-Stat'!#REF!</f>
        <v>#REF!</v>
      </c>
    </row>
    <row r="42" spans="1:28">
      <c r="A42" s="784">
        <v>2040</v>
      </c>
      <c r="B42" s="784"/>
      <c r="C42" s="784" t="s">
        <v>169</v>
      </c>
      <c r="D42" s="784"/>
      <c r="E42" s="784"/>
      <c r="F42" s="762" t="e">
        <f>'4_Fin-Stat'!#REF!+'4_Fin-Stat'!#REF!</f>
        <v>#REF!</v>
      </c>
      <c r="G42" s="762" t="e">
        <f>'4_Fin-Stat'!#REF!+'4_Fin-Stat'!#REF!</f>
        <v>#REF!</v>
      </c>
      <c r="H42" s="762" t="e">
        <f>'4_Fin-Stat'!#REF!+'4_Fin-Stat'!#REF!</f>
        <v>#REF!</v>
      </c>
      <c r="I42" s="762" t="e">
        <f>'4_Fin-Stat'!#REF!+'4_Fin-Stat'!#REF!</f>
        <v>#REF!</v>
      </c>
      <c r="J42" s="762" t="e">
        <f>'4_Fin-Stat'!#REF!+'4_Fin-Stat'!#REF!</f>
        <v>#REF!</v>
      </c>
      <c r="K42" s="762" t="e">
        <f>'4_Fin-Stat'!#REF!+'4_Fin-Stat'!#REF!</f>
        <v>#REF!</v>
      </c>
      <c r="L42" s="762" t="e">
        <f>'4_Fin-Stat'!#REF!+'4_Fin-Stat'!#REF!</f>
        <v>#REF!</v>
      </c>
      <c r="M42" s="762" t="e">
        <f>'4_Fin-Stat'!#REF!+'4_Fin-Stat'!#REF!</f>
        <v>#REF!</v>
      </c>
      <c r="N42" s="762" t="e">
        <f>'4_Fin-Stat'!#REF!+'4_Fin-Stat'!#REF!</f>
        <v>#REF!</v>
      </c>
      <c r="O42" s="762" t="e">
        <f>'4_Fin-Stat'!#REF!+'4_Fin-Stat'!#REF!</f>
        <v>#REF!</v>
      </c>
      <c r="P42" s="762" t="e">
        <f>'4_Fin-Stat'!#REF!+'4_Fin-Stat'!#REF!</f>
        <v>#REF!</v>
      </c>
      <c r="Q42" s="762" t="e">
        <f>'4_Fin-Stat'!#REF!+'4_Fin-Stat'!#REF!</f>
        <v>#REF!</v>
      </c>
      <c r="R42" s="762" t="e">
        <f>'4_Fin-Stat'!#REF!+'4_Fin-Stat'!#REF!</f>
        <v>#REF!</v>
      </c>
      <c r="S42" s="762" t="e">
        <f>'4_Fin-Stat'!#REF!+'4_Fin-Stat'!#REF!</f>
        <v>#REF!</v>
      </c>
      <c r="T42" s="762" t="e">
        <f>'4_Fin-Stat'!#REF!+'4_Fin-Stat'!#REF!</f>
        <v>#REF!</v>
      </c>
      <c r="U42" s="762" t="e">
        <f>'4_Fin-Stat'!#REF!+'4_Fin-Stat'!#REF!</f>
        <v>#REF!</v>
      </c>
      <c r="V42" s="762" t="e">
        <f>'4_Fin-Stat'!#REF!+'4_Fin-Stat'!#REF!</f>
        <v>#REF!</v>
      </c>
      <c r="W42" s="762" t="e">
        <f>'4_Fin-Stat'!#REF!+'4_Fin-Stat'!#REF!</f>
        <v>#REF!</v>
      </c>
      <c r="X42" s="762" t="e">
        <f>'4_Fin-Stat'!#REF!+'4_Fin-Stat'!#REF!</f>
        <v>#REF!</v>
      </c>
      <c r="Y42" s="762" t="e">
        <f>'4_Fin-Stat'!#REF!+'4_Fin-Stat'!#REF!</f>
        <v>#REF!</v>
      </c>
      <c r="Z42" s="762" t="e">
        <f>'4_Fin-Stat'!#REF!+'4_Fin-Stat'!#REF!</f>
        <v>#REF!</v>
      </c>
      <c r="AA42" s="762" t="e">
        <f>'4_Fin-Stat'!#REF!+'4_Fin-Stat'!#REF!</f>
        <v>#REF!</v>
      </c>
    </row>
    <row r="43" spans="1:28">
      <c r="A43" s="784">
        <v>2050</v>
      </c>
      <c r="B43" s="784"/>
      <c r="C43" s="784" t="s">
        <v>172</v>
      </c>
      <c r="D43" s="784"/>
      <c r="E43" s="784"/>
      <c r="F43" s="762" t="e">
        <f>'4_Fin-Stat'!#REF!</f>
        <v>#REF!</v>
      </c>
      <c r="G43" s="762" t="e">
        <f>'4_Fin-Stat'!#REF!</f>
        <v>#REF!</v>
      </c>
      <c r="H43" s="762" t="e">
        <f>'4_Fin-Stat'!#REF!</f>
        <v>#REF!</v>
      </c>
      <c r="I43" s="762" t="e">
        <f>'4_Fin-Stat'!#REF!</f>
        <v>#REF!</v>
      </c>
      <c r="J43" s="762" t="e">
        <f>'4_Fin-Stat'!#REF!</f>
        <v>#REF!</v>
      </c>
      <c r="K43" s="762" t="e">
        <f>'4_Fin-Stat'!#REF!</f>
        <v>#REF!</v>
      </c>
      <c r="L43" s="762" t="e">
        <f>'4_Fin-Stat'!#REF!</f>
        <v>#REF!</v>
      </c>
      <c r="M43" s="762" t="e">
        <f>'4_Fin-Stat'!#REF!</f>
        <v>#REF!</v>
      </c>
      <c r="N43" s="762" t="e">
        <f>'4_Fin-Stat'!#REF!</f>
        <v>#REF!</v>
      </c>
      <c r="O43" s="762" t="e">
        <f>'4_Fin-Stat'!#REF!</f>
        <v>#REF!</v>
      </c>
      <c r="P43" s="762" t="e">
        <f>'4_Fin-Stat'!#REF!</f>
        <v>#REF!</v>
      </c>
      <c r="Q43" s="762" t="e">
        <f>'4_Fin-Stat'!#REF!</f>
        <v>#REF!</v>
      </c>
      <c r="R43" s="762" t="e">
        <f>'4_Fin-Stat'!#REF!</f>
        <v>#REF!</v>
      </c>
      <c r="S43" s="762" t="e">
        <f>'4_Fin-Stat'!#REF!</f>
        <v>#REF!</v>
      </c>
      <c r="T43" s="762" t="e">
        <f>'4_Fin-Stat'!#REF!</f>
        <v>#REF!</v>
      </c>
      <c r="U43" s="762" t="e">
        <f>'4_Fin-Stat'!#REF!</f>
        <v>#REF!</v>
      </c>
      <c r="V43" s="762" t="e">
        <f>'4_Fin-Stat'!#REF!</f>
        <v>#REF!</v>
      </c>
      <c r="W43" s="762" t="e">
        <f>'4_Fin-Stat'!#REF!</f>
        <v>#REF!</v>
      </c>
      <c r="X43" s="762" t="e">
        <f>'4_Fin-Stat'!#REF!</f>
        <v>#REF!</v>
      </c>
      <c r="Y43" s="762" t="e">
        <f>'4_Fin-Stat'!#REF!</f>
        <v>#REF!</v>
      </c>
      <c r="Z43" s="762" t="e">
        <f>'4_Fin-Stat'!#REF!</f>
        <v>#REF!</v>
      </c>
      <c r="AA43" s="762" t="e">
        <f>'4_Fin-Stat'!#REF!</f>
        <v>#REF!</v>
      </c>
    </row>
    <row r="44" spans="1:28">
      <c r="A44" s="784">
        <v>2060</v>
      </c>
      <c r="B44" s="784"/>
      <c r="C44" s="784" t="s">
        <v>174</v>
      </c>
      <c r="D44" s="784"/>
      <c r="E44" s="784"/>
      <c r="F44" s="762" t="e">
        <f>'4_Fin-Stat'!#REF!</f>
        <v>#REF!</v>
      </c>
      <c r="G44" s="762" t="e">
        <f>'4_Fin-Stat'!#REF!</f>
        <v>#REF!</v>
      </c>
      <c r="H44" s="762" t="e">
        <f>'4_Fin-Stat'!#REF!</f>
        <v>#REF!</v>
      </c>
      <c r="I44" s="762" t="e">
        <f>'4_Fin-Stat'!#REF!</f>
        <v>#REF!</v>
      </c>
      <c r="J44" s="762" t="e">
        <f>'4_Fin-Stat'!#REF!</f>
        <v>#REF!</v>
      </c>
      <c r="K44" s="762" t="e">
        <f>'4_Fin-Stat'!#REF!</f>
        <v>#REF!</v>
      </c>
      <c r="L44" s="762" t="e">
        <f>'4_Fin-Stat'!#REF!</f>
        <v>#REF!</v>
      </c>
      <c r="M44" s="762" t="e">
        <f>'4_Fin-Stat'!#REF!</f>
        <v>#REF!</v>
      </c>
      <c r="N44" s="762" t="e">
        <f>'4_Fin-Stat'!#REF!</f>
        <v>#REF!</v>
      </c>
      <c r="O44" s="762" t="e">
        <f>'4_Fin-Stat'!#REF!</f>
        <v>#REF!</v>
      </c>
      <c r="P44" s="762" t="e">
        <f>'4_Fin-Stat'!#REF!</f>
        <v>#REF!</v>
      </c>
      <c r="Q44" s="762" t="e">
        <f>'4_Fin-Stat'!#REF!</f>
        <v>#REF!</v>
      </c>
      <c r="R44" s="762" t="e">
        <f>'4_Fin-Stat'!#REF!</f>
        <v>#REF!</v>
      </c>
      <c r="S44" s="762" t="e">
        <f>'4_Fin-Stat'!#REF!</f>
        <v>#REF!</v>
      </c>
      <c r="T44" s="762" t="e">
        <f>'4_Fin-Stat'!#REF!</f>
        <v>#REF!</v>
      </c>
      <c r="U44" s="762" t="e">
        <f>'4_Fin-Stat'!#REF!</f>
        <v>#REF!</v>
      </c>
      <c r="V44" s="762" t="e">
        <f>'4_Fin-Stat'!#REF!</f>
        <v>#REF!</v>
      </c>
      <c r="W44" s="762" t="e">
        <f>'4_Fin-Stat'!#REF!</f>
        <v>#REF!</v>
      </c>
      <c r="X44" s="762" t="e">
        <f>'4_Fin-Stat'!#REF!</f>
        <v>#REF!</v>
      </c>
      <c r="Y44" s="762" t="e">
        <f>'4_Fin-Stat'!#REF!</f>
        <v>#REF!</v>
      </c>
      <c r="Z44" s="762" t="e">
        <f>'4_Fin-Stat'!#REF!</f>
        <v>#REF!</v>
      </c>
      <c r="AA44" s="762" t="e">
        <f>'4_Fin-Stat'!#REF!</f>
        <v>#REF!</v>
      </c>
    </row>
    <row r="45" spans="1:28">
      <c r="A45" s="784">
        <v>2050</v>
      </c>
      <c r="B45" s="784"/>
      <c r="C45" s="784" t="s">
        <v>325</v>
      </c>
      <c r="D45" s="784"/>
      <c r="E45" s="784"/>
      <c r="F45" s="762" t="e">
        <f>'4_Fin-Stat'!#REF!+'4_Fin-Stat'!F46+'4_Fin-Stat'!#REF!</f>
        <v>#REF!</v>
      </c>
      <c r="G45" s="762" t="e">
        <f>'4_Fin-Stat'!#REF!+'4_Fin-Stat'!G46+'4_Fin-Stat'!#REF!</f>
        <v>#REF!</v>
      </c>
      <c r="H45" s="762" t="e">
        <f>'4_Fin-Stat'!#REF!+'4_Fin-Stat'!H46+'4_Fin-Stat'!#REF!</f>
        <v>#REF!</v>
      </c>
      <c r="I45" s="762" t="e">
        <f>'4_Fin-Stat'!#REF!+'4_Fin-Stat'!I46+'4_Fin-Stat'!#REF!</f>
        <v>#REF!</v>
      </c>
      <c r="J45" s="762" t="e">
        <f>'4_Fin-Stat'!#REF!+'4_Fin-Stat'!J46+'4_Fin-Stat'!#REF!</f>
        <v>#REF!</v>
      </c>
      <c r="K45" s="762" t="e">
        <f>'4_Fin-Stat'!#REF!+'4_Fin-Stat'!K46+'4_Fin-Stat'!#REF!</f>
        <v>#REF!</v>
      </c>
      <c r="L45" s="762" t="e">
        <f>'4_Fin-Stat'!#REF!+'4_Fin-Stat'!L46+'4_Fin-Stat'!#REF!</f>
        <v>#REF!</v>
      </c>
      <c r="M45" s="762" t="e">
        <f>'4_Fin-Stat'!#REF!+'4_Fin-Stat'!M46+'4_Fin-Stat'!#REF!</f>
        <v>#REF!</v>
      </c>
      <c r="N45" s="762" t="e">
        <f>'4_Fin-Stat'!#REF!+'4_Fin-Stat'!N46+'4_Fin-Stat'!#REF!</f>
        <v>#REF!</v>
      </c>
      <c r="O45" s="762" t="e">
        <f>'4_Fin-Stat'!#REF!+'4_Fin-Stat'!O46+'4_Fin-Stat'!#REF!</f>
        <v>#REF!</v>
      </c>
      <c r="P45" s="762" t="e">
        <f>'4_Fin-Stat'!#REF!+'4_Fin-Stat'!P46+'4_Fin-Stat'!#REF!</f>
        <v>#REF!</v>
      </c>
      <c r="Q45" s="762" t="e">
        <f>'4_Fin-Stat'!#REF!+'4_Fin-Stat'!Q46+'4_Fin-Stat'!#REF!</f>
        <v>#REF!</v>
      </c>
      <c r="R45" s="762" t="e">
        <f>'4_Fin-Stat'!#REF!+'4_Fin-Stat'!R46+'4_Fin-Stat'!#REF!</f>
        <v>#REF!</v>
      </c>
      <c r="S45" s="762" t="e">
        <f>'4_Fin-Stat'!#REF!+'4_Fin-Stat'!S46+'4_Fin-Stat'!#REF!</f>
        <v>#REF!</v>
      </c>
      <c r="T45" s="762" t="e">
        <f>'4_Fin-Stat'!#REF!+'4_Fin-Stat'!T46+'4_Fin-Stat'!#REF!</f>
        <v>#REF!</v>
      </c>
      <c r="U45" s="762" t="e">
        <f>'4_Fin-Stat'!#REF!+'4_Fin-Stat'!U46+'4_Fin-Stat'!#REF!</f>
        <v>#REF!</v>
      </c>
      <c r="V45" s="762" t="e">
        <f>'4_Fin-Stat'!#REF!+'4_Fin-Stat'!V46+'4_Fin-Stat'!#REF!</f>
        <v>#REF!</v>
      </c>
      <c r="W45" s="762" t="e">
        <f>'4_Fin-Stat'!#REF!+'4_Fin-Stat'!W46+'4_Fin-Stat'!#REF!</f>
        <v>#REF!</v>
      </c>
      <c r="X45" s="762" t="e">
        <f>'4_Fin-Stat'!#REF!+'4_Fin-Stat'!X46+'4_Fin-Stat'!#REF!</f>
        <v>#REF!</v>
      </c>
      <c r="Y45" s="762" t="e">
        <f>'4_Fin-Stat'!#REF!+'4_Fin-Stat'!Y46+'4_Fin-Stat'!#REF!</f>
        <v>#REF!</v>
      </c>
      <c r="Z45" s="762" t="e">
        <f>'4_Fin-Stat'!#REF!+'4_Fin-Stat'!Z46+'4_Fin-Stat'!#REF!</f>
        <v>#REF!</v>
      </c>
      <c r="AA45" s="762" t="e">
        <f>'4_Fin-Stat'!#REF!+'4_Fin-Stat'!AA46+'4_Fin-Stat'!#REF!</f>
        <v>#REF!</v>
      </c>
    </row>
    <row r="46" spans="1:28">
      <c r="A46" s="784"/>
      <c r="B46" s="784"/>
      <c r="C46" s="784" t="s">
        <v>171</v>
      </c>
      <c r="D46" s="784"/>
      <c r="E46" s="784"/>
      <c r="F46" s="762" t="e">
        <f>'4_Fin-Stat'!#REF!</f>
        <v>#REF!</v>
      </c>
      <c r="G46" s="762" t="e">
        <f>'4_Fin-Stat'!#REF!</f>
        <v>#REF!</v>
      </c>
      <c r="H46" s="762" t="e">
        <f>'4_Fin-Stat'!#REF!</f>
        <v>#REF!</v>
      </c>
      <c r="I46" s="762" t="e">
        <f>'4_Fin-Stat'!#REF!</f>
        <v>#REF!</v>
      </c>
      <c r="J46" s="762" t="e">
        <f>'4_Fin-Stat'!#REF!</f>
        <v>#REF!</v>
      </c>
      <c r="K46" s="762" t="e">
        <f>'4_Fin-Stat'!#REF!</f>
        <v>#REF!</v>
      </c>
      <c r="L46" s="762" t="e">
        <f>'4_Fin-Stat'!#REF!</f>
        <v>#REF!</v>
      </c>
      <c r="M46" s="762" t="e">
        <f>'4_Fin-Stat'!#REF!</f>
        <v>#REF!</v>
      </c>
      <c r="N46" s="762" t="e">
        <f>'4_Fin-Stat'!#REF!</f>
        <v>#REF!</v>
      </c>
      <c r="O46" s="762" t="e">
        <f>'4_Fin-Stat'!#REF!</f>
        <v>#REF!</v>
      </c>
      <c r="P46" s="762" t="e">
        <f>'4_Fin-Stat'!#REF!</f>
        <v>#REF!</v>
      </c>
      <c r="Q46" s="762" t="e">
        <f>'4_Fin-Stat'!#REF!</f>
        <v>#REF!</v>
      </c>
      <c r="R46" s="762" t="e">
        <f>'4_Fin-Stat'!#REF!</f>
        <v>#REF!</v>
      </c>
      <c r="S46" s="762" t="e">
        <f>'4_Fin-Stat'!#REF!</f>
        <v>#REF!</v>
      </c>
      <c r="T46" s="762" t="e">
        <f>'4_Fin-Stat'!#REF!</f>
        <v>#REF!</v>
      </c>
      <c r="U46" s="762" t="e">
        <f>'4_Fin-Stat'!#REF!</f>
        <v>#REF!</v>
      </c>
      <c r="V46" s="762" t="e">
        <f>'4_Fin-Stat'!#REF!</f>
        <v>#REF!</v>
      </c>
      <c r="W46" s="762" t="e">
        <f>'4_Fin-Stat'!#REF!</f>
        <v>#REF!</v>
      </c>
      <c r="X46" s="762" t="e">
        <f>'4_Fin-Stat'!#REF!</f>
        <v>#REF!</v>
      </c>
      <c r="Y46" s="762" t="e">
        <f>'4_Fin-Stat'!#REF!</f>
        <v>#REF!</v>
      </c>
      <c r="Z46" s="762" t="e">
        <f>'4_Fin-Stat'!#REF!</f>
        <v>#REF!</v>
      </c>
      <c r="AA46" s="762" t="e">
        <f>'4_Fin-Stat'!#REF!</f>
        <v>#REF!</v>
      </c>
    </row>
    <row r="47" spans="1:28">
      <c r="A47" s="784">
        <v>2370</v>
      </c>
      <c r="B47" s="784"/>
      <c r="C47" s="784" t="s">
        <v>151</v>
      </c>
      <c r="D47" s="784"/>
      <c r="E47" s="784"/>
      <c r="F47" s="762" t="e">
        <f>'4_Fin-Stat'!#REF!</f>
        <v>#REF!</v>
      </c>
      <c r="G47" s="762" t="e">
        <f>'4_Fin-Stat'!#REF!</f>
        <v>#REF!</v>
      </c>
      <c r="H47" s="762" t="e">
        <f>'4_Fin-Stat'!#REF!</f>
        <v>#REF!</v>
      </c>
      <c r="I47" s="762" t="e">
        <f>'4_Fin-Stat'!#REF!</f>
        <v>#REF!</v>
      </c>
      <c r="J47" s="762" t="e">
        <f>'4_Fin-Stat'!#REF!</f>
        <v>#REF!</v>
      </c>
      <c r="K47" s="762" t="e">
        <f>'4_Fin-Stat'!#REF!</f>
        <v>#REF!</v>
      </c>
      <c r="L47" s="762" t="e">
        <f>'4_Fin-Stat'!#REF!</f>
        <v>#REF!</v>
      </c>
      <c r="M47" s="762" t="e">
        <f>'4_Fin-Stat'!#REF!</f>
        <v>#REF!</v>
      </c>
      <c r="N47" s="762" t="e">
        <f>'4_Fin-Stat'!#REF!</f>
        <v>#REF!</v>
      </c>
      <c r="O47" s="762" t="e">
        <f>'4_Fin-Stat'!#REF!</f>
        <v>#REF!</v>
      </c>
      <c r="P47" s="762" t="e">
        <f>'4_Fin-Stat'!#REF!</f>
        <v>#REF!</v>
      </c>
      <c r="Q47" s="762" t="e">
        <f>'4_Fin-Stat'!#REF!</f>
        <v>#REF!</v>
      </c>
      <c r="R47" s="762" t="e">
        <f>'4_Fin-Stat'!#REF!</f>
        <v>#REF!</v>
      </c>
      <c r="S47" s="762" t="e">
        <f>'4_Fin-Stat'!#REF!</f>
        <v>#REF!</v>
      </c>
      <c r="T47" s="762" t="e">
        <f>'4_Fin-Stat'!#REF!</f>
        <v>#REF!</v>
      </c>
      <c r="U47" s="762" t="e">
        <f>'4_Fin-Stat'!#REF!</f>
        <v>#REF!</v>
      </c>
      <c r="V47" s="762" t="e">
        <f>'4_Fin-Stat'!#REF!</f>
        <v>#REF!</v>
      </c>
      <c r="W47" s="762" t="e">
        <f>'4_Fin-Stat'!#REF!</f>
        <v>#REF!</v>
      </c>
      <c r="X47" s="762" t="e">
        <f>'4_Fin-Stat'!#REF!</f>
        <v>#REF!</v>
      </c>
      <c r="Y47" s="762" t="e">
        <f>'4_Fin-Stat'!#REF!</f>
        <v>#REF!</v>
      </c>
      <c r="Z47" s="762" t="e">
        <f>'4_Fin-Stat'!#REF!</f>
        <v>#REF!</v>
      </c>
      <c r="AA47" s="762" t="e">
        <f>'4_Fin-Stat'!#REF!</f>
        <v>#REF!</v>
      </c>
    </row>
    <row r="48" spans="1:28">
      <c r="A48" s="784"/>
      <c r="B48" s="784"/>
      <c r="C48" s="784" t="s">
        <v>176</v>
      </c>
      <c r="D48" s="784"/>
      <c r="E48" s="784"/>
      <c r="F48" s="762">
        <f>'4_Fin-Stat'!F45</f>
        <v>489</v>
      </c>
      <c r="G48" s="762">
        <f>'4_Fin-Stat'!G45</f>
        <v>-7608</v>
      </c>
      <c r="H48" s="762">
        <f>'4_Fin-Stat'!H45</f>
        <v>0</v>
      </c>
      <c r="I48" s="762">
        <f>'4_Fin-Stat'!I45</f>
        <v>0</v>
      </c>
      <c r="J48" s="762">
        <f>'4_Fin-Stat'!J45</f>
        <v>0</v>
      </c>
      <c r="K48" s="762">
        <f>'4_Fin-Stat'!K45</f>
        <v>2545</v>
      </c>
      <c r="L48" s="762">
        <f>'4_Fin-Stat'!L45</f>
        <v>2257</v>
      </c>
      <c r="M48" s="762">
        <f>'4_Fin-Stat'!M45</f>
        <v>2085</v>
      </c>
      <c r="N48" s="762">
        <f>'4_Fin-Stat'!N45</f>
        <v>0</v>
      </c>
      <c r="O48" s="762">
        <f>'4_Fin-Stat'!O45</f>
        <v>0</v>
      </c>
      <c r="P48" s="762">
        <f>'4_Fin-Stat'!P45</f>
        <v>28041</v>
      </c>
      <c r="Q48" s="762">
        <f>'4_Fin-Stat'!Q45</f>
        <v>31633</v>
      </c>
      <c r="R48" s="762">
        <f>'4_Fin-Stat'!R45</f>
        <v>0</v>
      </c>
      <c r="S48" s="762">
        <f>'4_Fin-Stat'!S45</f>
        <v>27831</v>
      </c>
      <c r="T48" s="762">
        <f>'4_Fin-Stat'!T45</f>
        <v>15000</v>
      </c>
      <c r="U48" s="762">
        <f>'4_Fin-Stat'!U45</f>
        <v>19000</v>
      </c>
      <c r="V48" s="762">
        <f>'4_Fin-Stat'!V45</f>
        <v>0</v>
      </c>
      <c r="W48" s="762">
        <f>'4_Fin-Stat'!W45</f>
        <v>0</v>
      </c>
      <c r="X48" s="762">
        <f>'4_Fin-Stat'!X45</f>
        <v>4000</v>
      </c>
      <c r="Y48" s="762">
        <f>'4_Fin-Stat'!Y45</f>
        <v>7000</v>
      </c>
      <c r="Z48" s="762">
        <f>'4_Fin-Stat'!Z45</f>
        <v>34000</v>
      </c>
      <c r="AA48" s="762">
        <f>'4_Fin-Stat'!AA45</f>
        <v>28000</v>
      </c>
    </row>
    <row r="49" spans="1:27">
      <c r="A49" s="784">
        <v>2090</v>
      </c>
      <c r="B49" s="784"/>
      <c r="C49" s="784" t="s">
        <v>178</v>
      </c>
      <c r="D49" s="784"/>
      <c r="E49" s="784"/>
      <c r="F49" s="762" t="e">
        <f>'4_Fin-Stat'!#REF!</f>
        <v>#REF!</v>
      </c>
      <c r="G49" s="762" t="e">
        <f>'4_Fin-Stat'!#REF!</f>
        <v>#REF!</v>
      </c>
      <c r="H49" s="762" t="e">
        <f>'4_Fin-Stat'!#REF!</f>
        <v>#REF!</v>
      </c>
      <c r="I49" s="762" t="e">
        <f>'4_Fin-Stat'!#REF!</f>
        <v>#REF!</v>
      </c>
      <c r="J49" s="762" t="e">
        <f>'4_Fin-Stat'!#REF!</f>
        <v>#REF!</v>
      </c>
      <c r="K49" s="762" t="e">
        <f>'4_Fin-Stat'!#REF!</f>
        <v>#REF!</v>
      </c>
      <c r="L49" s="762" t="e">
        <f>'4_Fin-Stat'!#REF!</f>
        <v>#REF!</v>
      </c>
      <c r="M49" s="762" t="e">
        <f>'4_Fin-Stat'!#REF!</f>
        <v>#REF!</v>
      </c>
      <c r="N49" s="762" t="e">
        <f>'4_Fin-Stat'!#REF!</f>
        <v>#REF!</v>
      </c>
      <c r="O49" s="762" t="e">
        <f>'4_Fin-Stat'!#REF!</f>
        <v>#REF!</v>
      </c>
      <c r="P49" s="762" t="e">
        <f>'4_Fin-Stat'!#REF!</f>
        <v>#REF!</v>
      </c>
      <c r="Q49" s="762" t="e">
        <f>'4_Fin-Stat'!#REF!</f>
        <v>#REF!</v>
      </c>
      <c r="R49" s="762" t="e">
        <f>'4_Fin-Stat'!#REF!</f>
        <v>#REF!</v>
      </c>
      <c r="S49" s="762" t="e">
        <f>'4_Fin-Stat'!#REF!</f>
        <v>#REF!</v>
      </c>
      <c r="T49" s="762" t="e">
        <f>'4_Fin-Stat'!#REF!</f>
        <v>#REF!</v>
      </c>
      <c r="U49" s="762" t="e">
        <f>'4_Fin-Stat'!#REF!</f>
        <v>#REF!</v>
      </c>
      <c r="V49" s="762" t="e">
        <f>'4_Fin-Stat'!#REF!</f>
        <v>#REF!</v>
      </c>
      <c r="W49" s="762" t="e">
        <f>'4_Fin-Stat'!#REF!</f>
        <v>#REF!</v>
      </c>
      <c r="X49" s="762" t="e">
        <f>'4_Fin-Stat'!#REF!</f>
        <v>#REF!</v>
      </c>
      <c r="Y49" s="762" t="e">
        <f>'4_Fin-Stat'!#REF!</f>
        <v>#REF!</v>
      </c>
      <c r="Z49" s="762" t="e">
        <f>'4_Fin-Stat'!#REF!</f>
        <v>#REF!</v>
      </c>
      <c r="AA49" s="762" t="e">
        <f>'4_Fin-Stat'!#REF!</f>
        <v>#REF!</v>
      </c>
    </row>
    <row r="50" spans="1:27">
      <c r="A50" s="784">
        <v>2000</v>
      </c>
      <c r="B50" s="784"/>
      <c r="C50" s="784" t="s">
        <v>179</v>
      </c>
      <c r="D50" s="784"/>
      <c r="E50" s="784"/>
      <c r="F50" s="785">
        <f>'4_Fin-Stat'!F47</f>
        <v>49500</v>
      </c>
      <c r="G50" s="785">
        <f>'4_Fin-Stat'!G47</f>
        <v>23198</v>
      </c>
      <c r="H50" s="785">
        <f>'4_Fin-Stat'!H47</f>
        <v>378371</v>
      </c>
      <c r="I50" s="785">
        <f>'4_Fin-Stat'!I47</f>
        <v>184731</v>
      </c>
      <c r="J50" s="785">
        <f>'4_Fin-Stat'!J47</f>
        <v>723098</v>
      </c>
      <c r="K50" s="785">
        <f>'4_Fin-Stat'!K47</f>
        <v>158310</v>
      </c>
      <c r="L50" s="785">
        <f>'4_Fin-Stat'!L47</f>
        <v>370141</v>
      </c>
      <c r="M50" s="785">
        <f>'4_Fin-Stat'!M47</f>
        <v>0</v>
      </c>
      <c r="N50" s="785">
        <f>'4_Fin-Stat'!N47</f>
        <v>0</v>
      </c>
      <c r="O50" s="785">
        <f>'4_Fin-Stat'!O47</f>
        <v>149808</v>
      </c>
      <c r="P50" s="785">
        <f>'4_Fin-Stat'!P47</f>
        <v>123166</v>
      </c>
      <c r="Q50" s="785">
        <f>'4_Fin-Stat'!Q47</f>
        <v>284417</v>
      </c>
      <c r="R50" s="785">
        <f>'4_Fin-Stat'!R47</f>
        <v>3012</v>
      </c>
      <c r="S50" s="785">
        <f>'4_Fin-Stat'!S47</f>
        <v>101907</v>
      </c>
      <c r="T50" s="785">
        <f>'4_Fin-Stat'!T47</f>
        <v>671000</v>
      </c>
      <c r="U50" s="785">
        <f>'4_Fin-Stat'!U47</f>
        <v>237000</v>
      </c>
      <c r="V50" s="785">
        <f>'4_Fin-Stat'!V47</f>
        <v>531000</v>
      </c>
      <c r="W50" s="785">
        <f>'4_Fin-Stat'!W47</f>
        <v>305000</v>
      </c>
      <c r="X50" s="785">
        <f>'4_Fin-Stat'!X47</f>
        <v>391000</v>
      </c>
      <c r="Y50" s="785">
        <f>'4_Fin-Stat'!Y47</f>
        <v>513000</v>
      </c>
      <c r="Z50" s="785">
        <f>'4_Fin-Stat'!Z47</f>
        <v>127000</v>
      </c>
      <c r="AA50" s="785">
        <f>'4_Fin-Stat'!AA47</f>
        <v>220000</v>
      </c>
    </row>
    <row r="51" spans="1:27">
      <c r="A51" s="784"/>
      <c r="B51" s="784"/>
      <c r="C51" s="784"/>
      <c r="D51" s="784"/>
      <c r="E51" s="784"/>
      <c r="F51" s="762" t="e">
        <f t="shared" ref="F51:AA51" si="11">SUM(F40:F50)</f>
        <v>#REF!</v>
      </c>
      <c r="G51" s="762" t="e">
        <f t="shared" si="11"/>
        <v>#REF!</v>
      </c>
      <c r="H51" s="762" t="e">
        <f t="shared" si="11"/>
        <v>#REF!</v>
      </c>
      <c r="I51" s="762" t="e">
        <f t="shared" si="11"/>
        <v>#REF!</v>
      </c>
      <c r="J51" s="762" t="e">
        <f t="shared" si="11"/>
        <v>#REF!</v>
      </c>
      <c r="K51" s="762" t="e">
        <f t="shared" si="11"/>
        <v>#REF!</v>
      </c>
      <c r="L51" s="762" t="e">
        <f t="shared" si="11"/>
        <v>#REF!</v>
      </c>
      <c r="M51" s="762" t="e">
        <f t="shared" si="11"/>
        <v>#REF!</v>
      </c>
      <c r="N51" s="762" t="e">
        <f t="shared" si="11"/>
        <v>#REF!</v>
      </c>
      <c r="O51" s="762" t="e">
        <f t="shared" si="11"/>
        <v>#REF!</v>
      </c>
      <c r="P51" s="762" t="e">
        <f t="shared" si="11"/>
        <v>#REF!</v>
      </c>
      <c r="Q51" s="762" t="e">
        <f t="shared" si="11"/>
        <v>#REF!</v>
      </c>
      <c r="R51" s="762" t="e">
        <f t="shared" si="11"/>
        <v>#REF!</v>
      </c>
      <c r="S51" s="762" t="e">
        <f t="shared" si="11"/>
        <v>#REF!</v>
      </c>
      <c r="T51" s="762" t="e">
        <f t="shared" si="11"/>
        <v>#REF!</v>
      </c>
      <c r="U51" s="762" t="e">
        <f t="shared" si="11"/>
        <v>#REF!</v>
      </c>
      <c r="V51" s="762" t="e">
        <f t="shared" si="11"/>
        <v>#REF!</v>
      </c>
      <c r="W51" s="762" t="e">
        <f t="shared" si="11"/>
        <v>#REF!</v>
      </c>
      <c r="X51" s="762" t="e">
        <f t="shared" si="11"/>
        <v>#REF!</v>
      </c>
      <c r="Y51" s="762" t="e">
        <f t="shared" si="11"/>
        <v>#REF!</v>
      </c>
      <c r="Z51" s="762" t="e">
        <f t="shared" si="11"/>
        <v>#REF!</v>
      </c>
      <c r="AA51" s="762" t="e">
        <f t="shared" si="11"/>
        <v>#REF!</v>
      </c>
    </row>
    <row r="52" spans="1:27">
      <c r="A52" s="784">
        <v>2710</v>
      </c>
      <c r="B52" s="784"/>
      <c r="C52" s="784" t="s">
        <v>326</v>
      </c>
      <c r="D52" s="784"/>
      <c r="E52" s="784"/>
      <c r="F52" s="762">
        <f>'4_Fin-Stat'!F50</f>
        <v>5014</v>
      </c>
      <c r="G52" s="762">
        <f>'4_Fin-Stat'!G50</f>
        <v>28728</v>
      </c>
      <c r="H52" s="762">
        <f>'4_Fin-Stat'!H50</f>
        <v>66401</v>
      </c>
      <c r="I52" s="762">
        <f>'4_Fin-Stat'!I50</f>
        <v>92031</v>
      </c>
      <c r="J52" s="762">
        <f>'4_Fin-Stat'!J50</f>
        <v>138871</v>
      </c>
      <c r="K52" s="762">
        <f>'4_Fin-Stat'!K50</f>
        <v>145260</v>
      </c>
      <c r="L52" s="762">
        <f>'4_Fin-Stat'!L50</f>
        <v>179168</v>
      </c>
      <c r="M52" s="762">
        <f>'4_Fin-Stat'!M50</f>
        <v>970959</v>
      </c>
      <c r="N52" s="762">
        <f>'4_Fin-Stat'!N50</f>
        <v>1331772</v>
      </c>
      <c r="O52" s="762">
        <f>'4_Fin-Stat'!O50</f>
        <v>1329478</v>
      </c>
      <c r="P52" s="762">
        <f>'4_Fin-Stat'!P50</f>
        <v>1301231</v>
      </c>
      <c r="Q52" s="762">
        <f>'4_Fin-Stat'!Q50</f>
        <v>1559507</v>
      </c>
      <c r="R52" s="762">
        <f>'4_Fin-Stat'!R50</f>
        <v>680204</v>
      </c>
      <c r="S52" s="762">
        <f>'4_Fin-Stat'!S50</f>
        <v>700479</v>
      </c>
      <c r="T52" s="762">
        <f>'4_Fin-Stat'!T50</f>
        <v>735000</v>
      </c>
      <c r="U52" s="762">
        <f>'4_Fin-Stat'!U50</f>
        <v>768000</v>
      </c>
      <c r="V52" s="762">
        <f>'4_Fin-Stat'!V50</f>
        <v>792000</v>
      </c>
      <c r="W52" s="762">
        <f>'4_Fin-Stat'!W50</f>
        <v>736000</v>
      </c>
      <c r="X52" s="762">
        <f>'4_Fin-Stat'!X50</f>
        <v>749000</v>
      </c>
      <c r="Y52" s="762">
        <f>'4_Fin-Stat'!Y50</f>
        <v>751000</v>
      </c>
      <c r="Z52" s="762">
        <f>'4_Fin-Stat'!Z50</f>
        <v>676000</v>
      </c>
      <c r="AA52" s="762">
        <f>'4_Fin-Stat'!AA50</f>
        <v>653000</v>
      </c>
    </row>
    <row r="53" spans="1:27">
      <c r="A53" s="784">
        <v>2710</v>
      </c>
      <c r="B53" s="784"/>
      <c r="C53" s="784" t="s">
        <v>327</v>
      </c>
      <c r="D53" s="784"/>
      <c r="E53" s="784"/>
      <c r="F53" s="785"/>
      <c r="G53" s="785"/>
      <c r="H53" s="785"/>
      <c r="I53" s="785"/>
      <c r="J53" s="785"/>
      <c r="K53" s="785"/>
      <c r="L53" s="785"/>
      <c r="M53" s="785">
        <f>'4_Fin-Stat'!M494</f>
        <v>2181</v>
      </c>
      <c r="N53" s="785"/>
      <c r="O53" s="785"/>
      <c r="P53" s="785"/>
      <c r="Q53" s="785">
        <f>'4_Fin-Stat'!Q512</f>
        <v>0</v>
      </c>
      <c r="R53" s="785">
        <f>'4_Fin-Stat'!R512</f>
        <v>0</v>
      </c>
      <c r="S53" s="785">
        <f>'4_Fin-Stat'!S512</f>
        <v>0</v>
      </c>
      <c r="T53" s="785">
        <f>'4_Fin-Stat'!T512</f>
        <v>0</v>
      </c>
      <c r="U53" s="785">
        <f>'4_Fin-Stat'!U512</f>
        <v>0</v>
      </c>
      <c r="V53" s="785">
        <f>'4_Fin-Stat'!V512</f>
        <v>0</v>
      </c>
      <c r="W53" s="785">
        <f>'4_Fin-Stat'!W512</f>
        <v>0</v>
      </c>
      <c r="X53" s="785">
        <f>'4_Fin-Stat'!X512</f>
        <v>0</v>
      </c>
      <c r="Y53" s="338"/>
      <c r="Z53" s="338"/>
      <c r="AA53" s="338"/>
    </row>
    <row r="54" spans="1:27">
      <c r="A54" s="784"/>
      <c r="B54" s="784"/>
      <c r="C54" s="784"/>
      <c r="D54" s="784"/>
      <c r="E54" s="784" t="s">
        <v>128</v>
      </c>
      <c r="F54" s="762">
        <f t="shared" ref="F54:AA54" si="12">SUM(F52:F53)</f>
        <v>5014</v>
      </c>
      <c r="G54" s="762">
        <f t="shared" si="12"/>
        <v>28728</v>
      </c>
      <c r="H54" s="762">
        <f t="shared" si="12"/>
        <v>66401</v>
      </c>
      <c r="I54" s="762">
        <f t="shared" si="12"/>
        <v>92031</v>
      </c>
      <c r="J54" s="762">
        <f t="shared" si="12"/>
        <v>138871</v>
      </c>
      <c r="K54" s="762">
        <f t="shared" si="12"/>
        <v>145260</v>
      </c>
      <c r="L54" s="762">
        <f t="shared" si="12"/>
        <v>179168</v>
      </c>
      <c r="M54" s="762">
        <f t="shared" si="12"/>
        <v>973140</v>
      </c>
      <c r="N54" s="762">
        <f t="shared" si="12"/>
        <v>1331772</v>
      </c>
      <c r="O54" s="762">
        <f t="shared" si="12"/>
        <v>1329478</v>
      </c>
      <c r="P54" s="762">
        <f t="shared" si="12"/>
        <v>1301231</v>
      </c>
      <c r="Q54" s="762">
        <f t="shared" si="12"/>
        <v>1559507</v>
      </c>
      <c r="R54" s="762">
        <f t="shared" si="12"/>
        <v>680204</v>
      </c>
      <c r="S54" s="762">
        <f t="shared" si="12"/>
        <v>700479</v>
      </c>
      <c r="T54" s="762">
        <f t="shared" si="12"/>
        <v>735000</v>
      </c>
      <c r="U54" s="762">
        <f t="shared" si="12"/>
        <v>768000</v>
      </c>
      <c r="V54" s="762">
        <f t="shared" si="12"/>
        <v>792000</v>
      </c>
      <c r="W54" s="762">
        <f t="shared" si="12"/>
        <v>736000</v>
      </c>
      <c r="X54" s="762">
        <f t="shared" si="12"/>
        <v>749000</v>
      </c>
      <c r="Y54" s="762">
        <f t="shared" si="12"/>
        <v>751000</v>
      </c>
      <c r="Z54" s="762">
        <f t="shared" si="12"/>
        <v>676000</v>
      </c>
      <c r="AA54" s="762">
        <f t="shared" si="12"/>
        <v>653000</v>
      </c>
    </row>
    <row r="55" spans="1:27">
      <c r="A55" s="784"/>
      <c r="B55" s="784"/>
      <c r="C55" s="784" t="s">
        <v>155</v>
      </c>
      <c r="D55" s="784"/>
      <c r="E55" s="784"/>
      <c r="F55" s="762">
        <f>'4_Fin-Stat'!F54</f>
        <v>0</v>
      </c>
      <c r="G55" s="762">
        <f>'4_Fin-Stat'!G54</f>
        <v>0</v>
      </c>
      <c r="H55" s="762">
        <f>'4_Fin-Stat'!H54</f>
        <v>0</v>
      </c>
      <c r="I55" s="762">
        <f>'4_Fin-Stat'!I54</f>
        <v>0</v>
      </c>
      <c r="J55" s="762">
        <f>'4_Fin-Stat'!J54</f>
        <v>0</v>
      </c>
      <c r="K55" s="762">
        <f>'4_Fin-Stat'!K54</f>
        <v>0</v>
      </c>
      <c r="L55" s="762">
        <f>'4_Fin-Stat'!L54</f>
        <v>0</v>
      </c>
      <c r="M55" s="762">
        <f>'4_Fin-Stat'!M54</f>
        <v>21004</v>
      </c>
      <c r="N55" s="762">
        <f>'4_Fin-Stat'!N54</f>
        <v>124669</v>
      </c>
      <c r="O55" s="762">
        <f>'4_Fin-Stat'!O54</f>
        <v>56448</v>
      </c>
      <c r="P55" s="762">
        <f>'4_Fin-Stat'!P54</f>
        <v>52054</v>
      </c>
      <c r="Q55" s="762">
        <f>'4_Fin-Stat'!Q54</f>
        <v>84752</v>
      </c>
      <c r="R55" s="762">
        <f>'4_Fin-Stat'!R54</f>
        <v>226491</v>
      </c>
      <c r="S55" s="762">
        <f>'4_Fin-Stat'!S54</f>
        <v>184346</v>
      </c>
      <c r="T55" s="762">
        <f>'4_Fin-Stat'!T54</f>
        <v>147000</v>
      </c>
      <c r="U55" s="762">
        <f>'4_Fin-Stat'!U54</f>
        <v>82000</v>
      </c>
      <c r="V55" s="762">
        <f>'4_Fin-Stat'!V54</f>
        <v>81000</v>
      </c>
      <c r="W55" s="762">
        <f>'4_Fin-Stat'!W54</f>
        <v>106000</v>
      </c>
      <c r="X55" s="762">
        <f>'4_Fin-Stat'!X54</f>
        <v>102000</v>
      </c>
      <c r="Y55" s="762">
        <f>'4_Fin-Stat'!Y54</f>
        <v>61000</v>
      </c>
      <c r="Z55" s="762">
        <f>'4_Fin-Stat'!Z54</f>
        <v>113000</v>
      </c>
      <c r="AA55" s="762">
        <f>'4_Fin-Stat'!AA54</f>
        <v>127000</v>
      </c>
    </row>
    <row r="56" spans="1:27">
      <c r="A56" s="784">
        <v>2680</v>
      </c>
      <c r="B56" s="784"/>
      <c r="C56" s="784" t="s">
        <v>180</v>
      </c>
      <c r="D56" s="784"/>
      <c r="E56" s="784"/>
      <c r="F56" s="762" t="e">
        <f>'4_Fin-Stat'!F55+'4_Fin-Stat'!#REF!</f>
        <v>#REF!</v>
      </c>
      <c r="G56" s="762" t="e">
        <f>'4_Fin-Stat'!G55+'4_Fin-Stat'!#REF!</f>
        <v>#REF!</v>
      </c>
      <c r="H56" s="762" t="e">
        <f>'4_Fin-Stat'!H55+'4_Fin-Stat'!#REF!</f>
        <v>#REF!</v>
      </c>
      <c r="I56" s="762" t="e">
        <f>'4_Fin-Stat'!I55+'4_Fin-Stat'!#REF!</f>
        <v>#REF!</v>
      </c>
      <c r="J56" s="762" t="e">
        <f>'4_Fin-Stat'!J55+'4_Fin-Stat'!#REF!</f>
        <v>#REF!</v>
      </c>
      <c r="K56" s="762" t="e">
        <f>'4_Fin-Stat'!K55+'4_Fin-Stat'!#REF!</f>
        <v>#REF!</v>
      </c>
      <c r="L56" s="762" t="e">
        <f>'4_Fin-Stat'!L55+'4_Fin-Stat'!#REF!</f>
        <v>#REF!</v>
      </c>
      <c r="M56" s="762" t="e">
        <f>'4_Fin-Stat'!M55+'4_Fin-Stat'!#REF!</f>
        <v>#REF!</v>
      </c>
      <c r="N56" s="762" t="e">
        <f>'4_Fin-Stat'!N55+'4_Fin-Stat'!#REF!</f>
        <v>#REF!</v>
      </c>
      <c r="O56" s="762" t="e">
        <f>'4_Fin-Stat'!O55+'4_Fin-Stat'!#REF!</f>
        <v>#REF!</v>
      </c>
      <c r="P56" s="762" t="e">
        <f>'4_Fin-Stat'!P55+'4_Fin-Stat'!#REF!</f>
        <v>#REF!</v>
      </c>
      <c r="Q56" s="762" t="e">
        <f>'4_Fin-Stat'!Q55+'4_Fin-Stat'!#REF!</f>
        <v>#REF!</v>
      </c>
      <c r="R56" s="762" t="e">
        <f>'4_Fin-Stat'!R55+'4_Fin-Stat'!#REF!</f>
        <v>#REF!</v>
      </c>
      <c r="S56" s="762" t="e">
        <f>'4_Fin-Stat'!S55+'4_Fin-Stat'!#REF!</f>
        <v>#REF!</v>
      </c>
      <c r="T56" s="762" t="e">
        <f>'4_Fin-Stat'!T55+'4_Fin-Stat'!#REF!</f>
        <v>#REF!</v>
      </c>
      <c r="U56" s="762" t="e">
        <f>'4_Fin-Stat'!U55+'4_Fin-Stat'!#REF!</f>
        <v>#REF!</v>
      </c>
      <c r="V56" s="762" t="e">
        <f>'4_Fin-Stat'!V55+'4_Fin-Stat'!#REF!</f>
        <v>#REF!</v>
      </c>
      <c r="W56" s="762" t="e">
        <f>'4_Fin-Stat'!W55+'4_Fin-Stat'!#REF!</f>
        <v>#REF!</v>
      </c>
      <c r="X56" s="762" t="e">
        <f>'4_Fin-Stat'!X55+'4_Fin-Stat'!#REF!</f>
        <v>#REF!</v>
      </c>
      <c r="Y56" s="762" t="e">
        <f>'4_Fin-Stat'!Y55+'4_Fin-Stat'!#REF!</f>
        <v>#REF!</v>
      </c>
      <c r="Z56" s="762" t="e">
        <f>'4_Fin-Stat'!Z55+'4_Fin-Stat'!#REF!</f>
        <v>#REF!</v>
      </c>
      <c r="AA56" s="762" t="e">
        <f>'4_Fin-Stat'!AA55+'4_Fin-Stat'!#REF!</f>
        <v>#REF!</v>
      </c>
    </row>
    <row r="57" spans="1:27">
      <c r="A57" s="784">
        <v>2300</v>
      </c>
      <c r="B57" s="784"/>
      <c r="C57" s="784" t="s">
        <v>182</v>
      </c>
      <c r="D57" s="784"/>
      <c r="E57" s="784"/>
      <c r="F57" s="785">
        <f>'4_Fin-Stat'!F56</f>
        <v>477911</v>
      </c>
      <c r="G57" s="785">
        <f>'4_Fin-Stat'!G56</f>
        <v>464554</v>
      </c>
      <c r="H57" s="785">
        <f>'4_Fin-Stat'!H56</f>
        <v>180444</v>
      </c>
      <c r="I57" s="785">
        <f>'4_Fin-Stat'!I56</f>
        <v>591498</v>
      </c>
      <c r="J57" s="785">
        <f>'4_Fin-Stat'!J56</f>
        <v>653178</v>
      </c>
      <c r="K57" s="785">
        <f>'4_Fin-Stat'!K56</f>
        <v>1176566</v>
      </c>
      <c r="L57" s="785">
        <f>'4_Fin-Stat'!L56</f>
        <v>1021825</v>
      </c>
      <c r="M57" s="785">
        <f>'4_Fin-Stat'!M56</f>
        <v>760194</v>
      </c>
      <c r="N57" s="785">
        <f>'4_Fin-Stat'!N56</f>
        <v>629707</v>
      </c>
      <c r="O57" s="785">
        <f>'4_Fin-Stat'!O56</f>
        <v>793226</v>
      </c>
      <c r="P57" s="785">
        <f>'4_Fin-Stat'!P56</f>
        <v>1128695</v>
      </c>
      <c r="Q57" s="785">
        <f>'4_Fin-Stat'!Q56</f>
        <v>1323058</v>
      </c>
      <c r="R57" s="785">
        <f>'4_Fin-Stat'!R56</f>
        <v>1082110</v>
      </c>
      <c r="S57" s="785">
        <f>'4_Fin-Stat'!S56</f>
        <v>1202026</v>
      </c>
      <c r="T57" s="785">
        <f>'4_Fin-Stat'!T56</f>
        <v>699000</v>
      </c>
      <c r="U57" s="785">
        <f>'4_Fin-Stat'!U56</f>
        <v>1057000</v>
      </c>
      <c r="V57" s="785">
        <f>'4_Fin-Stat'!V56</f>
        <v>1219000</v>
      </c>
      <c r="W57" s="785">
        <f>'4_Fin-Stat'!W56</f>
        <v>1391000</v>
      </c>
      <c r="X57" s="785">
        <f>'4_Fin-Stat'!X56</f>
        <v>1158000</v>
      </c>
      <c r="Y57" s="785">
        <f>'4_Fin-Stat'!Y56</f>
        <v>972000</v>
      </c>
      <c r="Z57" s="785">
        <f>'4_Fin-Stat'!Z56</f>
        <v>969000</v>
      </c>
      <c r="AA57" s="785">
        <f>'4_Fin-Stat'!AA56</f>
        <v>978000</v>
      </c>
    </row>
    <row r="58" spans="1:27">
      <c r="A58" s="784"/>
      <c r="B58" s="784"/>
      <c r="C58" s="784"/>
      <c r="D58" s="784"/>
      <c r="E58" s="784"/>
      <c r="F58" s="762" t="e">
        <f t="shared" ref="F58:AA58" si="13">SUM(F54:F57)</f>
        <v>#REF!</v>
      </c>
      <c r="G58" s="762" t="e">
        <f t="shared" si="13"/>
        <v>#REF!</v>
      </c>
      <c r="H58" s="762" t="e">
        <f t="shared" si="13"/>
        <v>#REF!</v>
      </c>
      <c r="I58" s="762" t="e">
        <f t="shared" si="13"/>
        <v>#REF!</v>
      </c>
      <c r="J58" s="762" t="e">
        <f t="shared" si="13"/>
        <v>#REF!</v>
      </c>
      <c r="K58" s="762" t="e">
        <f t="shared" si="13"/>
        <v>#REF!</v>
      </c>
      <c r="L58" s="762" t="e">
        <f t="shared" si="13"/>
        <v>#REF!</v>
      </c>
      <c r="M58" s="762" t="e">
        <f t="shared" si="13"/>
        <v>#REF!</v>
      </c>
      <c r="N58" s="762" t="e">
        <f t="shared" si="13"/>
        <v>#REF!</v>
      </c>
      <c r="O58" s="762" t="e">
        <f t="shared" si="13"/>
        <v>#REF!</v>
      </c>
      <c r="P58" s="762" t="e">
        <f t="shared" si="13"/>
        <v>#REF!</v>
      </c>
      <c r="Q58" s="762" t="e">
        <f t="shared" si="13"/>
        <v>#REF!</v>
      </c>
      <c r="R58" s="762" t="e">
        <f t="shared" si="13"/>
        <v>#REF!</v>
      </c>
      <c r="S58" s="762" t="e">
        <f t="shared" si="13"/>
        <v>#REF!</v>
      </c>
      <c r="T58" s="762" t="e">
        <f t="shared" si="13"/>
        <v>#REF!</v>
      </c>
      <c r="U58" s="762" t="e">
        <f t="shared" si="13"/>
        <v>#REF!</v>
      </c>
      <c r="V58" s="762" t="e">
        <f t="shared" si="13"/>
        <v>#REF!</v>
      </c>
      <c r="W58" s="762" t="e">
        <f t="shared" si="13"/>
        <v>#REF!</v>
      </c>
      <c r="X58" s="762" t="e">
        <f t="shared" si="13"/>
        <v>#REF!</v>
      </c>
      <c r="Y58" s="762" t="e">
        <f t="shared" si="13"/>
        <v>#REF!</v>
      </c>
      <c r="Z58" s="762" t="e">
        <f t="shared" si="13"/>
        <v>#REF!</v>
      </c>
      <c r="AA58" s="762" t="e">
        <f t="shared" si="13"/>
        <v>#REF!</v>
      </c>
    </row>
    <row r="59" spans="1:27">
      <c r="A59" s="784"/>
      <c r="B59" s="784"/>
      <c r="C59" s="784"/>
      <c r="D59" s="784"/>
      <c r="E59" s="784"/>
      <c r="F59" s="762"/>
      <c r="G59" s="762"/>
      <c r="H59" s="762"/>
      <c r="I59" s="762"/>
      <c r="J59" s="762"/>
      <c r="K59" s="762"/>
      <c r="L59" s="762"/>
      <c r="M59" s="762"/>
      <c r="N59" s="762"/>
      <c r="O59" s="762"/>
      <c r="P59" s="784"/>
      <c r="Q59" s="762"/>
      <c r="R59" s="762"/>
      <c r="S59" s="762"/>
      <c r="T59" s="786"/>
      <c r="U59" s="786"/>
      <c r="V59" s="786"/>
      <c r="W59" s="786"/>
      <c r="X59" s="786"/>
      <c r="Y59" s="784"/>
      <c r="Z59" s="784"/>
      <c r="AA59" s="784"/>
    </row>
    <row r="60" spans="1:27">
      <c r="A60" s="784">
        <v>2800</v>
      </c>
      <c r="B60" s="784"/>
      <c r="C60" s="784" t="s">
        <v>183</v>
      </c>
      <c r="D60" s="784"/>
      <c r="E60" s="784"/>
      <c r="F60" s="762">
        <f>'4_Fin-Stat'!F59</f>
        <v>1600000</v>
      </c>
      <c r="G60" s="762">
        <f>'4_Fin-Stat'!G59</f>
        <v>1600000</v>
      </c>
      <c r="H60" s="762">
        <f>'4_Fin-Stat'!H59</f>
        <v>1600000</v>
      </c>
      <c r="I60" s="762">
        <f>'4_Fin-Stat'!I59</f>
        <v>1600000</v>
      </c>
      <c r="J60" s="762">
        <f>'4_Fin-Stat'!J59</f>
        <v>1600000</v>
      </c>
      <c r="K60" s="762">
        <f>'4_Fin-Stat'!K59</f>
        <v>1600000</v>
      </c>
      <c r="L60" s="762">
        <f>'4_Fin-Stat'!L59</f>
        <v>1600000</v>
      </c>
      <c r="M60" s="762">
        <f>'4_Fin-Stat'!M59</f>
        <v>1600000</v>
      </c>
      <c r="N60" s="762">
        <f>'4_Fin-Stat'!N59</f>
        <v>1600000</v>
      </c>
      <c r="O60" s="762">
        <f>'4_Fin-Stat'!O59</f>
        <v>1600000</v>
      </c>
      <c r="P60" s="762">
        <f>'4_Fin-Stat'!P59</f>
        <v>1600000</v>
      </c>
      <c r="Q60" s="762">
        <f>'4_Fin-Stat'!Q59</f>
        <v>1600000</v>
      </c>
      <c r="R60" s="762">
        <f>'4_Fin-Stat'!R59</f>
        <v>1412860</v>
      </c>
      <c r="S60" s="762">
        <f>'4_Fin-Stat'!S59</f>
        <v>1534289</v>
      </c>
      <c r="T60" s="762">
        <f>'4_Fin-Stat'!T59</f>
        <v>1605000</v>
      </c>
      <c r="U60" s="762">
        <f>'4_Fin-Stat'!U59</f>
        <v>1605000</v>
      </c>
      <c r="V60" s="762">
        <f>'4_Fin-Stat'!V59</f>
        <v>1605000</v>
      </c>
      <c r="W60" s="762">
        <f>'4_Fin-Stat'!W59</f>
        <v>1515000</v>
      </c>
      <c r="X60" s="762">
        <f>'4_Fin-Stat'!X59</f>
        <v>1515000</v>
      </c>
      <c r="Y60" s="762">
        <f>'4_Fin-Stat'!Y59</f>
        <v>1520000</v>
      </c>
      <c r="Z60" s="762">
        <f>'4_Fin-Stat'!Z59</f>
        <v>1523000</v>
      </c>
      <c r="AA60" s="762">
        <f>'4_Fin-Stat'!AA59</f>
        <v>1528000</v>
      </c>
    </row>
    <row r="61" spans="1:27">
      <c r="A61" s="784"/>
      <c r="B61" s="784"/>
      <c r="C61" s="784"/>
      <c r="D61" s="784"/>
      <c r="E61" s="784"/>
      <c r="F61" s="762"/>
      <c r="G61" s="762"/>
      <c r="H61" s="762"/>
      <c r="I61" s="762"/>
      <c r="J61" s="762"/>
      <c r="K61" s="762"/>
      <c r="L61" s="762"/>
      <c r="M61" s="762"/>
      <c r="N61" s="762"/>
      <c r="O61" s="762"/>
      <c r="P61" s="762"/>
      <c r="Q61" s="762"/>
      <c r="R61" s="762"/>
      <c r="S61" s="784"/>
      <c r="T61" s="786"/>
      <c r="U61" s="786"/>
      <c r="V61" s="786"/>
      <c r="W61" s="786"/>
      <c r="X61" s="786"/>
      <c r="Y61" s="784"/>
      <c r="Z61" s="784"/>
      <c r="AA61" s="784"/>
    </row>
    <row r="62" spans="1:27">
      <c r="A62" s="784">
        <v>2830</v>
      </c>
      <c r="B62" s="784"/>
      <c r="C62" s="784" t="s">
        <v>328</v>
      </c>
      <c r="D62" s="784"/>
      <c r="E62" s="784"/>
      <c r="F62" s="785" t="e">
        <f>'4_Fin-Stat'!#REF!</f>
        <v>#REF!</v>
      </c>
      <c r="G62" s="785" t="e">
        <f>'4_Fin-Stat'!#REF!</f>
        <v>#REF!</v>
      </c>
      <c r="H62" s="785" t="e">
        <f>'4_Fin-Stat'!#REF!</f>
        <v>#REF!</v>
      </c>
      <c r="I62" s="785" t="e">
        <f>'4_Fin-Stat'!#REF!</f>
        <v>#REF!</v>
      </c>
      <c r="J62" s="785" t="e">
        <f>'4_Fin-Stat'!#REF!</f>
        <v>#REF!</v>
      </c>
      <c r="K62" s="785" t="e">
        <f>'4_Fin-Stat'!#REF!</f>
        <v>#REF!</v>
      </c>
      <c r="L62" s="785" t="e">
        <f>'4_Fin-Stat'!#REF!</f>
        <v>#REF!</v>
      </c>
      <c r="M62" s="785" t="e">
        <f>'4_Fin-Stat'!#REF!</f>
        <v>#REF!</v>
      </c>
      <c r="N62" s="785" t="e">
        <f>'4_Fin-Stat'!#REF!</f>
        <v>#REF!</v>
      </c>
      <c r="O62" s="785" t="e">
        <f>'4_Fin-Stat'!#REF!</f>
        <v>#REF!</v>
      </c>
      <c r="P62" s="785" t="e">
        <f>'4_Fin-Stat'!#REF!</f>
        <v>#REF!</v>
      </c>
      <c r="Q62" s="785" t="e">
        <f>'4_Fin-Stat'!#REF!</f>
        <v>#REF!</v>
      </c>
      <c r="R62" s="785" t="e">
        <f>'4_Fin-Stat'!#REF!</f>
        <v>#REF!</v>
      </c>
      <c r="S62" s="785" t="e">
        <f>'4_Fin-Stat'!#REF!</f>
        <v>#REF!</v>
      </c>
      <c r="T62" s="785" t="e">
        <f>'4_Fin-Stat'!#REF!</f>
        <v>#REF!</v>
      </c>
      <c r="U62" s="785" t="e">
        <f>'4_Fin-Stat'!#REF!</f>
        <v>#REF!</v>
      </c>
      <c r="V62" s="785" t="e">
        <f>'4_Fin-Stat'!#REF!</f>
        <v>#REF!</v>
      </c>
      <c r="W62" s="785" t="e">
        <f>'4_Fin-Stat'!#REF!</f>
        <v>#REF!</v>
      </c>
      <c r="X62" s="785" t="e">
        <f>'4_Fin-Stat'!#REF!</f>
        <v>#REF!</v>
      </c>
      <c r="Y62" s="785" t="e">
        <f>'4_Fin-Stat'!#REF!</f>
        <v>#REF!</v>
      </c>
      <c r="Z62" s="785" t="e">
        <f>'4_Fin-Stat'!#REF!</f>
        <v>#REF!</v>
      </c>
      <c r="AA62" s="785" t="e">
        <f>'4_Fin-Stat'!#REF!</f>
        <v>#REF!</v>
      </c>
    </row>
    <row r="63" spans="1:27">
      <c r="A63" s="784"/>
      <c r="B63" s="784"/>
      <c r="C63" s="784"/>
      <c r="D63" s="784"/>
      <c r="E63" s="784"/>
      <c r="F63" s="762" t="e">
        <f t="shared" ref="F63:AA63" si="14">SUM(F62:F62)</f>
        <v>#REF!</v>
      </c>
      <c r="G63" s="762" t="e">
        <f t="shared" si="14"/>
        <v>#REF!</v>
      </c>
      <c r="H63" s="762" t="e">
        <f t="shared" si="14"/>
        <v>#REF!</v>
      </c>
      <c r="I63" s="762" t="e">
        <f t="shared" si="14"/>
        <v>#REF!</v>
      </c>
      <c r="J63" s="762" t="e">
        <f t="shared" si="14"/>
        <v>#REF!</v>
      </c>
      <c r="K63" s="762" t="e">
        <f t="shared" si="14"/>
        <v>#REF!</v>
      </c>
      <c r="L63" s="762" t="e">
        <f t="shared" si="14"/>
        <v>#REF!</v>
      </c>
      <c r="M63" s="762" t="e">
        <f t="shared" si="14"/>
        <v>#REF!</v>
      </c>
      <c r="N63" s="762" t="e">
        <f t="shared" si="14"/>
        <v>#REF!</v>
      </c>
      <c r="O63" s="762" t="e">
        <f t="shared" si="14"/>
        <v>#REF!</v>
      </c>
      <c r="P63" s="762" t="e">
        <f t="shared" si="14"/>
        <v>#REF!</v>
      </c>
      <c r="Q63" s="762" t="e">
        <f t="shared" si="14"/>
        <v>#REF!</v>
      </c>
      <c r="R63" s="762" t="e">
        <f t="shared" si="14"/>
        <v>#REF!</v>
      </c>
      <c r="S63" s="762" t="e">
        <f t="shared" si="14"/>
        <v>#REF!</v>
      </c>
      <c r="T63" s="762" t="e">
        <f t="shared" si="14"/>
        <v>#REF!</v>
      </c>
      <c r="U63" s="762" t="e">
        <f t="shared" si="14"/>
        <v>#REF!</v>
      </c>
      <c r="V63" s="762" t="e">
        <f t="shared" si="14"/>
        <v>#REF!</v>
      </c>
      <c r="W63" s="762" t="e">
        <f t="shared" si="14"/>
        <v>#REF!</v>
      </c>
      <c r="X63" s="762" t="e">
        <f t="shared" si="14"/>
        <v>#REF!</v>
      </c>
      <c r="Y63" s="762" t="e">
        <f t="shared" si="14"/>
        <v>#REF!</v>
      </c>
      <c r="Z63" s="762" t="e">
        <f t="shared" si="14"/>
        <v>#REF!</v>
      </c>
      <c r="AA63" s="762" t="e">
        <f t="shared" si="14"/>
        <v>#REF!</v>
      </c>
    </row>
    <row r="64" spans="1:27">
      <c r="A64" s="784">
        <v>2830</v>
      </c>
      <c r="B64" s="784"/>
      <c r="C64" s="784" t="s">
        <v>329</v>
      </c>
      <c r="D64" s="784"/>
      <c r="E64" s="784"/>
      <c r="F64" s="785"/>
      <c r="G64" s="785"/>
      <c r="H64" s="785"/>
      <c r="I64" s="785"/>
      <c r="J64" s="785"/>
      <c r="K64" s="785"/>
      <c r="L64" s="785"/>
      <c r="M64" s="785"/>
      <c r="N64" s="785"/>
      <c r="O64" s="785"/>
      <c r="P64" s="785"/>
      <c r="Q64" s="785"/>
      <c r="R64" s="785"/>
      <c r="S64" s="785"/>
      <c r="T64" s="785"/>
      <c r="U64" s="785"/>
      <c r="V64" s="785"/>
      <c r="W64" s="785"/>
      <c r="X64" s="785"/>
      <c r="Y64" s="338"/>
      <c r="Z64" s="338"/>
      <c r="AA64" s="338"/>
    </row>
    <row r="65" spans="1:27">
      <c r="A65" s="784"/>
      <c r="B65" s="784"/>
      <c r="C65" s="784"/>
      <c r="D65" s="784"/>
      <c r="E65" s="784"/>
      <c r="F65" s="762" t="e">
        <f t="shared" ref="F65:AA65" si="15">F63+F64</f>
        <v>#REF!</v>
      </c>
      <c r="G65" s="762" t="e">
        <f t="shared" si="15"/>
        <v>#REF!</v>
      </c>
      <c r="H65" s="762" t="e">
        <f t="shared" si="15"/>
        <v>#REF!</v>
      </c>
      <c r="I65" s="762" t="e">
        <f t="shared" si="15"/>
        <v>#REF!</v>
      </c>
      <c r="J65" s="762" t="e">
        <f t="shared" si="15"/>
        <v>#REF!</v>
      </c>
      <c r="K65" s="762" t="e">
        <f t="shared" si="15"/>
        <v>#REF!</v>
      </c>
      <c r="L65" s="762" t="e">
        <f t="shared" si="15"/>
        <v>#REF!</v>
      </c>
      <c r="M65" s="762" t="e">
        <f t="shared" si="15"/>
        <v>#REF!</v>
      </c>
      <c r="N65" s="762" t="e">
        <f t="shared" si="15"/>
        <v>#REF!</v>
      </c>
      <c r="O65" s="762" t="e">
        <f t="shared" si="15"/>
        <v>#REF!</v>
      </c>
      <c r="P65" s="762" t="e">
        <f t="shared" si="15"/>
        <v>#REF!</v>
      </c>
      <c r="Q65" s="762" t="e">
        <f t="shared" si="15"/>
        <v>#REF!</v>
      </c>
      <c r="R65" s="762" t="e">
        <f t="shared" si="15"/>
        <v>#REF!</v>
      </c>
      <c r="S65" s="762" t="e">
        <f t="shared" si="15"/>
        <v>#REF!</v>
      </c>
      <c r="T65" s="762" t="e">
        <f t="shared" si="15"/>
        <v>#REF!</v>
      </c>
      <c r="U65" s="762" t="e">
        <f t="shared" si="15"/>
        <v>#REF!</v>
      </c>
      <c r="V65" s="762" t="e">
        <f t="shared" si="15"/>
        <v>#REF!</v>
      </c>
      <c r="W65" s="762" t="e">
        <f t="shared" si="15"/>
        <v>#REF!</v>
      </c>
      <c r="X65" s="762" t="e">
        <f t="shared" si="15"/>
        <v>#REF!</v>
      </c>
      <c r="Y65" s="762" t="e">
        <f t="shared" si="15"/>
        <v>#REF!</v>
      </c>
      <c r="Z65" s="762" t="e">
        <f t="shared" si="15"/>
        <v>#REF!</v>
      </c>
      <c r="AA65" s="762" t="e">
        <f t="shared" si="15"/>
        <v>#REF!</v>
      </c>
    </row>
    <row r="66" spans="1:27">
      <c r="A66" s="784">
        <v>2940</v>
      </c>
      <c r="B66" s="784"/>
      <c r="C66" s="784" t="s">
        <v>185</v>
      </c>
      <c r="D66" s="784"/>
      <c r="E66" s="784"/>
      <c r="F66" s="762">
        <f>'4_Fin-Stat'!F61</f>
        <v>0</v>
      </c>
      <c r="G66" s="762">
        <f>'4_Fin-Stat'!G61</f>
        <v>0</v>
      </c>
      <c r="H66" s="762">
        <f>'4_Fin-Stat'!H61</f>
        <v>1387</v>
      </c>
      <c r="I66" s="762">
        <f>'4_Fin-Stat'!I61</f>
        <v>-7570</v>
      </c>
      <c r="J66" s="762">
        <f>'4_Fin-Stat'!J61</f>
        <v>-2099</v>
      </c>
      <c r="K66" s="762">
        <f>'4_Fin-Stat'!K61</f>
        <v>-15627</v>
      </c>
      <c r="L66" s="762">
        <f>'4_Fin-Stat'!L61</f>
        <v>-17724</v>
      </c>
      <c r="M66" s="762">
        <f>'4_Fin-Stat'!M61</f>
        <v>6</v>
      </c>
      <c r="N66" s="762">
        <f>'4_Fin-Stat'!N61</f>
        <v>4</v>
      </c>
      <c r="O66" s="762">
        <f>'4_Fin-Stat'!O61</f>
        <v>85</v>
      </c>
      <c r="P66" s="762">
        <f>'4_Fin-Stat'!P61</f>
        <v>340</v>
      </c>
      <c r="Q66" s="762">
        <f>'4_Fin-Stat'!Q61</f>
        <v>-2720</v>
      </c>
      <c r="R66" s="762">
        <f>'4_Fin-Stat'!R61</f>
        <v>0</v>
      </c>
      <c r="S66" s="762">
        <f>'4_Fin-Stat'!S61</f>
        <v>7862</v>
      </c>
      <c r="T66" s="762">
        <f>'4_Fin-Stat'!T61</f>
        <v>0</v>
      </c>
      <c r="U66" s="762">
        <f>'4_Fin-Stat'!U61</f>
        <v>0</v>
      </c>
      <c r="V66" s="762">
        <f>'4_Fin-Stat'!V61</f>
        <v>0</v>
      </c>
      <c r="W66" s="762">
        <f>'4_Fin-Stat'!W61</f>
        <v>0</v>
      </c>
      <c r="X66" s="762">
        <f>'4_Fin-Stat'!X61</f>
        <v>0</v>
      </c>
      <c r="Y66" s="762">
        <f>'4_Fin-Stat'!Y61</f>
        <v>0</v>
      </c>
      <c r="Z66" s="762">
        <f>'4_Fin-Stat'!Z61</f>
        <v>0</v>
      </c>
      <c r="AA66" s="762">
        <f>'4_Fin-Stat'!AA61</f>
        <v>0</v>
      </c>
    </row>
    <row r="67" spans="1:27">
      <c r="A67" s="784">
        <v>2840</v>
      </c>
      <c r="B67" s="784"/>
      <c r="C67" s="784" t="s">
        <v>186</v>
      </c>
      <c r="D67" s="784"/>
      <c r="E67" s="784"/>
      <c r="F67" s="762">
        <f>'4_Fin-Stat'!F62</f>
        <v>0</v>
      </c>
      <c r="G67" s="762">
        <f>'4_Fin-Stat'!G62</f>
        <v>0</v>
      </c>
      <c r="H67" s="762">
        <f>'4_Fin-Stat'!H62</f>
        <v>0</v>
      </c>
      <c r="I67" s="762">
        <f>'4_Fin-Stat'!I62</f>
        <v>0</v>
      </c>
      <c r="J67" s="762">
        <f>'4_Fin-Stat'!J62</f>
        <v>0</v>
      </c>
      <c r="K67" s="762">
        <f>'4_Fin-Stat'!K62</f>
        <v>0</v>
      </c>
      <c r="L67" s="762">
        <f>'4_Fin-Stat'!L62</f>
        <v>0</v>
      </c>
      <c r="M67" s="762">
        <f>'4_Fin-Stat'!M62</f>
        <v>14891</v>
      </c>
      <c r="N67" s="762">
        <f>'4_Fin-Stat'!N62</f>
        <v>2316</v>
      </c>
      <c r="O67" s="762">
        <f>'4_Fin-Stat'!O62</f>
        <v>-24352</v>
      </c>
      <c r="P67" s="762">
        <f>'4_Fin-Stat'!P62</f>
        <v>-5525</v>
      </c>
      <c r="Q67" s="762">
        <f>'4_Fin-Stat'!Q62</f>
        <v>659</v>
      </c>
      <c r="R67" s="762">
        <f>'4_Fin-Stat'!R62</f>
        <v>420</v>
      </c>
      <c r="S67" s="762">
        <f>'4_Fin-Stat'!S62</f>
        <v>-8325</v>
      </c>
      <c r="T67" s="762">
        <f>'4_Fin-Stat'!T62</f>
        <v>4000</v>
      </c>
      <c r="U67" s="762">
        <f>'4_Fin-Stat'!U62</f>
        <v>-5000</v>
      </c>
      <c r="V67" s="762">
        <f>'4_Fin-Stat'!V62</f>
        <v>5000</v>
      </c>
      <c r="W67" s="762">
        <f>'4_Fin-Stat'!W62</f>
        <v>7000</v>
      </c>
      <c r="X67" s="762">
        <f>'4_Fin-Stat'!X62</f>
        <v>-8000</v>
      </c>
      <c r="Y67" s="762">
        <f>'4_Fin-Stat'!Y62</f>
        <v>7000</v>
      </c>
      <c r="Z67" s="762">
        <f>'4_Fin-Stat'!Z62</f>
        <v>-39000</v>
      </c>
      <c r="AA67" s="762">
        <f>'4_Fin-Stat'!AA62</f>
        <v>-49000</v>
      </c>
    </row>
    <row r="68" spans="1:27">
      <c r="A68" s="784">
        <v>2840</v>
      </c>
      <c r="B68" s="784"/>
      <c r="C68" s="784" t="s">
        <v>187</v>
      </c>
      <c r="D68" s="784"/>
      <c r="E68" s="784"/>
      <c r="F68" s="762">
        <f>'4_Fin-Stat'!F63</f>
        <v>0</v>
      </c>
      <c r="G68" s="762">
        <f>'4_Fin-Stat'!G63</f>
        <v>0</v>
      </c>
      <c r="H68" s="762">
        <f>'4_Fin-Stat'!H63</f>
        <v>0</v>
      </c>
      <c r="I68" s="762">
        <f>'4_Fin-Stat'!I63</f>
        <v>0</v>
      </c>
      <c r="J68" s="762">
        <f>'4_Fin-Stat'!J63</f>
        <v>0</v>
      </c>
      <c r="K68" s="762">
        <f>'4_Fin-Stat'!K63</f>
        <v>0</v>
      </c>
      <c r="L68" s="762">
        <f>'4_Fin-Stat'!L63</f>
        <v>0</v>
      </c>
      <c r="M68" s="762">
        <f>'4_Fin-Stat'!M63</f>
        <v>1065</v>
      </c>
      <c r="N68" s="762">
        <f>'4_Fin-Stat'!N63</f>
        <v>1544</v>
      </c>
      <c r="O68" s="762">
        <f>'4_Fin-Stat'!O63</f>
        <v>-673</v>
      </c>
      <c r="P68" s="762">
        <f>'4_Fin-Stat'!P63</f>
        <v>380</v>
      </c>
      <c r="Q68" s="762">
        <f>'4_Fin-Stat'!Q63</f>
        <v>387</v>
      </c>
      <c r="R68" s="762">
        <f>'4_Fin-Stat'!R63</f>
        <v>-37134</v>
      </c>
      <c r="S68" s="762">
        <f>'4_Fin-Stat'!S63</f>
        <v>0</v>
      </c>
      <c r="T68" s="762">
        <f>'4_Fin-Stat'!T63</f>
        <v>0</v>
      </c>
      <c r="U68" s="762">
        <f>'4_Fin-Stat'!U63</f>
        <v>0</v>
      </c>
      <c r="V68" s="762">
        <f>'4_Fin-Stat'!V63</f>
        <v>0</v>
      </c>
      <c r="W68" s="762">
        <f>'4_Fin-Stat'!W63</f>
        <v>0</v>
      </c>
      <c r="X68" s="762">
        <f>'4_Fin-Stat'!X63</f>
        <v>0</v>
      </c>
      <c r="Y68" s="762">
        <f>'4_Fin-Stat'!Y63</f>
        <v>0</v>
      </c>
      <c r="Z68" s="762">
        <f>'4_Fin-Stat'!Z63</f>
        <v>0</v>
      </c>
      <c r="AA68" s="762">
        <f>'4_Fin-Stat'!AA63</f>
        <v>0</v>
      </c>
    </row>
    <row r="69" spans="1:27">
      <c r="A69" s="784"/>
      <c r="B69" s="784"/>
      <c r="C69" s="784" t="s">
        <v>184</v>
      </c>
      <c r="D69" s="784"/>
      <c r="E69" s="784"/>
      <c r="F69" s="762">
        <f>'4_Fin-Stat'!F60</f>
        <v>0</v>
      </c>
      <c r="G69" s="762">
        <f>'4_Fin-Stat'!G60</f>
        <v>0</v>
      </c>
      <c r="H69" s="762">
        <f>'4_Fin-Stat'!H60</f>
        <v>0</v>
      </c>
      <c r="I69" s="762">
        <f>'4_Fin-Stat'!I60</f>
        <v>0</v>
      </c>
      <c r="J69" s="762">
        <f>'4_Fin-Stat'!J60</f>
        <v>0</v>
      </c>
      <c r="K69" s="762">
        <f>'4_Fin-Stat'!K60</f>
        <v>0</v>
      </c>
      <c r="L69" s="762">
        <f>'4_Fin-Stat'!L60</f>
        <v>0</v>
      </c>
      <c r="M69" s="762">
        <f>'4_Fin-Stat'!M60</f>
        <v>0</v>
      </c>
      <c r="N69" s="762">
        <f>'4_Fin-Stat'!N60</f>
        <v>0</v>
      </c>
      <c r="O69" s="762">
        <f>'4_Fin-Stat'!O60</f>
        <v>0</v>
      </c>
      <c r="P69" s="762">
        <f>'4_Fin-Stat'!P60</f>
        <v>0</v>
      </c>
      <c r="Q69" s="762">
        <f>'4_Fin-Stat'!Q60</f>
        <v>0</v>
      </c>
      <c r="R69" s="762">
        <f>'4_Fin-Stat'!R60</f>
        <v>5364</v>
      </c>
      <c r="S69" s="762">
        <f>'4_Fin-Stat'!S60</f>
        <v>0</v>
      </c>
      <c r="T69" s="762">
        <f>'4_Fin-Stat'!T60</f>
        <v>11000</v>
      </c>
      <c r="U69" s="762">
        <f>'4_Fin-Stat'!U60</f>
        <v>14000</v>
      </c>
      <c r="V69" s="762">
        <f>'4_Fin-Stat'!V60</f>
        <v>15000</v>
      </c>
      <c r="W69" s="762">
        <f>'4_Fin-Stat'!W60</f>
        <v>7000</v>
      </c>
      <c r="X69" s="762">
        <f>'4_Fin-Stat'!X60</f>
        <v>8000</v>
      </c>
      <c r="Y69" s="762">
        <f>'4_Fin-Stat'!Y60</f>
        <v>6000</v>
      </c>
      <c r="Z69" s="762">
        <f>'4_Fin-Stat'!Z60</f>
        <v>10000</v>
      </c>
      <c r="AA69" s="762">
        <f>'4_Fin-Stat'!AA60</f>
        <v>8000</v>
      </c>
    </row>
    <row r="70" spans="1:27">
      <c r="A70" s="784">
        <v>2930</v>
      </c>
      <c r="B70" s="784"/>
      <c r="C70" s="784" t="s">
        <v>330</v>
      </c>
      <c r="D70" s="784"/>
      <c r="E70" s="784"/>
      <c r="F70" s="785">
        <f>'4_Fin-Stat'!F64</f>
        <v>-38645</v>
      </c>
      <c r="G70" s="785">
        <f>'4_Fin-Stat'!G64</f>
        <v>-4662</v>
      </c>
      <c r="H70" s="785">
        <f>'4_Fin-Stat'!H64</f>
        <v>-61041</v>
      </c>
      <c r="I70" s="785">
        <f>'4_Fin-Stat'!I64</f>
        <v>-7985</v>
      </c>
      <c r="J70" s="785">
        <f>'4_Fin-Stat'!J64</f>
        <v>24099</v>
      </c>
      <c r="K70" s="785">
        <f>'4_Fin-Stat'!K64</f>
        <v>139604</v>
      </c>
      <c r="L70" s="785">
        <f>'4_Fin-Stat'!L64</f>
        <v>209002</v>
      </c>
      <c r="M70" s="785">
        <f>'4_Fin-Stat'!M64</f>
        <v>169389</v>
      </c>
      <c r="N70" s="785">
        <f>'4_Fin-Stat'!N64</f>
        <v>39807</v>
      </c>
      <c r="O70" s="785">
        <f>'4_Fin-Stat'!O64</f>
        <v>-111560</v>
      </c>
      <c r="P70" s="785">
        <f>'4_Fin-Stat'!P64</f>
        <v>-50648</v>
      </c>
      <c r="Q70" s="785">
        <f>'4_Fin-Stat'!Q64</f>
        <v>-215998</v>
      </c>
      <c r="R70" s="785">
        <f>'4_Fin-Stat'!R64</f>
        <v>1854100</v>
      </c>
      <c r="S70" s="785">
        <f>'4_Fin-Stat'!S64</f>
        <v>1883846</v>
      </c>
      <c r="T70" s="785">
        <f>'4_Fin-Stat'!T64</f>
        <v>1917000</v>
      </c>
      <c r="U70" s="785">
        <f>'4_Fin-Stat'!U64</f>
        <v>1968000</v>
      </c>
      <c r="V70" s="785">
        <f>'4_Fin-Stat'!V64</f>
        <v>1546000</v>
      </c>
      <c r="W70" s="785">
        <f>'4_Fin-Stat'!W64</f>
        <v>1294000</v>
      </c>
      <c r="X70" s="785">
        <f>'4_Fin-Stat'!X64</f>
        <v>1263000</v>
      </c>
      <c r="Y70" s="785">
        <f>'4_Fin-Stat'!Y64</f>
        <v>1194000</v>
      </c>
      <c r="Z70" s="785">
        <f>'4_Fin-Stat'!Z64</f>
        <v>1288000</v>
      </c>
      <c r="AA70" s="785">
        <f>'4_Fin-Stat'!AA64</f>
        <v>1134000</v>
      </c>
    </row>
    <row r="71" spans="1:27">
      <c r="A71" s="784"/>
      <c r="B71" s="784"/>
      <c r="C71" s="784"/>
      <c r="D71" s="784"/>
      <c r="E71" s="784"/>
      <c r="F71" s="762" t="e">
        <f t="shared" ref="F71:AA71" si="16">F60+F65+F66+F67+F68+F69+F70</f>
        <v>#REF!</v>
      </c>
      <c r="G71" s="762" t="e">
        <f t="shared" si="16"/>
        <v>#REF!</v>
      </c>
      <c r="H71" s="762" t="e">
        <f t="shared" si="16"/>
        <v>#REF!</v>
      </c>
      <c r="I71" s="762" t="e">
        <f t="shared" si="16"/>
        <v>#REF!</v>
      </c>
      <c r="J71" s="762" t="e">
        <f t="shared" si="16"/>
        <v>#REF!</v>
      </c>
      <c r="K71" s="762" t="e">
        <f t="shared" si="16"/>
        <v>#REF!</v>
      </c>
      <c r="L71" s="762" t="e">
        <f t="shared" si="16"/>
        <v>#REF!</v>
      </c>
      <c r="M71" s="762" t="e">
        <f t="shared" si="16"/>
        <v>#REF!</v>
      </c>
      <c r="N71" s="762" t="e">
        <f t="shared" si="16"/>
        <v>#REF!</v>
      </c>
      <c r="O71" s="762" t="e">
        <f t="shared" si="16"/>
        <v>#REF!</v>
      </c>
      <c r="P71" s="762" t="e">
        <f t="shared" si="16"/>
        <v>#REF!</v>
      </c>
      <c r="Q71" s="762" t="e">
        <f t="shared" si="16"/>
        <v>#REF!</v>
      </c>
      <c r="R71" s="762" t="e">
        <f t="shared" si="16"/>
        <v>#REF!</v>
      </c>
      <c r="S71" s="762" t="e">
        <f t="shared" si="16"/>
        <v>#REF!</v>
      </c>
      <c r="T71" s="762" t="e">
        <f t="shared" si="16"/>
        <v>#REF!</v>
      </c>
      <c r="U71" s="762" t="e">
        <f t="shared" si="16"/>
        <v>#REF!</v>
      </c>
      <c r="V71" s="762" t="e">
        <f t="shared" si="16"/>
        <v>#REF!</v>
      </c>
      <c r="W71" s="762" t="e">
        <f t="shared" si="16"/>
        <v>#REF!</v>
      </c>
      <c r="X71" s="762" t="e">
        <f t="shared" si="16"/>
        <v>#REF!</v>
      </c>
      <c r="Y71" s="762" t="e">
        <f t="shared" si="16"/>
        <v>#REF!</v>
      </c>
      <c r="Z71" s="762" t="e">
        <f t="shared" si="16"/>
        <v>#REF!</v>
      </c>
      <c r="AA71" s="762" t="e">
        <f t="shared" si="16"/>
        <v>#REF!</v>
      </c>
    </row>
    <row r="72" spans="1:27">
      <c r="A72" s="784"/>
      <c r="B72" s="784"/>
      <c r="C72" s="784" t="s">
        <v>190</v>
      </c>
      <c r="D72" s="784"/>
      <c r="E72" s="784"/>
      <c r="F72" s="762" t="e">
        <f>'4_Fin-Stat'!#REF!</f>
        <v>#REF!</v>
      </c>
      <c r="G72" s="762" t="e">
        <f>'4_Fin-Stat'!#REF!</f>
        <v>#REF!</v>
      </c>
      <c r="H72" s="762" t="e">
        <f>'4_Fin-Stat'!#REF!</f>
        <v>#REF!</v>
      </c>
      <c r="I72" s="762" t="e">
        <f>'4_Fin-Stat'!#REF!</f>
        <v>#REF!</v>
      </c>
      <c r="J72" s="762" t="e">
        <f>'4_Fin-Stat'!#REF!</f>
        <v>#REF!</v>
      </c>
      <c r="K72" s="762" t="e">
        <f>'4_Fin-Stat'!#REF!</f>
        <v>#REF!</v>
      </c>
      <c r="L72" s="762" t="e">
        <f>'4_Fin-Stat'!#REF!</f>
        <v>#REF!</v>
      </c>
      <c r="M72" s="762" t="e">
        <f>'4_Fin-Stat'!#REF!</f>
        <v>#REF!</v>
      </c>
      <c r="N72" s="762" t="e">
        <f>'4_Fin-Stat'!#REF!</f>
        <v>#REF!</v>
      </c>
      <c r="O72" s="762" t="e">
        <f>'4_Fin-Stat'!#REF!</f>
        <v>#REF!</v>
      </c>
      <c r="P72" s="762" t="e">
        <f>'4_Fin-Stat'!#REF!</f>
        <v>#REF!</v>
      </c>
      <c r="Q72" s="762" t="e">
        <f>'4_Fin-Stat'!#REF!</f>
        <v>#REF!</v>
      </c>
      <c r="R72" s="762" t="e">
        <f>'4_Fin-Stat'!#REF!</f>
        <v>#REF!</v>
      </c>
      <c r="S72" s="762" t="e">
        <f>'4_Fin-Stat'!#REF!</f>
        <v>#REF!</v>
      </c>
      <c r="T72" s="762" t="e">
        <f>'4_Fin-Stat'!#REF!</f>
        <v>#REF!</v>
      </c>
      <c r="U72" s="762" t="e">
        <f>'4_Fin-Stat'!#REF!</f>
        <v>#REF!</v>
      </c>
      <c r="V72" s="762" t="e">
        <f>'4_Fin-Stat'!#REF!</f>
        <v>#REF!</v>
      </c>
      <c r="W72" s="762" t="e">
        <f>'4_Fin-Stat'!#REF!</f>
        <v>#REF!</v>
      </c>
      <c r="X72" s="762" t="e">
        <f>'4_Fin-Stat'!#REF!</f>
        <v>#REF!</v>
      </c>
      <c r="Y72" s="762" t="e">
        <f>'4_Fin-Stat'!#REF!</f>
        <v>#REF!</v>
      </c>
      <c r="Z72" s="762" t="e">
        <f>'4_Fin-Stat'!#REF!</f>
        <v>#REF!</v>
      </c>
      <c r="AA72" s="762" t="e">
        <f>'4_Fin-Stat'!#REF!</f>
        <v>#REF!</v>
      </c>
    </row>
    <row r="73" spans="1:27">
      <c r="A73" s="784">
        <v>2770</v>
      </c>
      <c r="B73" s="784"/>
      <c r="C73" s="784" t="s">
        <v>191</v>
      </c>
      <c r="D73" s="784"/>
      <c r="E73" s="784"/>
      <c r="F73" s="762" t="e">
        <f>'4_Fin-Stat'!#REF!</f>
        <v>#REF!</v>
      </c>
      <c r="G73" s="762" t="e">
        <f>'4_Fin-Stat'!#REF!</f>
        <v>#REF!</v>
      </c>
      <c r="H73" s="762" t="e">
        <f>'4_Fin-Stat'!#REF!</f>
        <v>#REF!</v>
      </c>
      <c r="I73" s="762" t="e">
        <f>'4_Fin-Stat'!#REF!</f>
        <v>#REF!</v>
      </c>
      <c r="J73" s="762" t="e">
        <f>'4_Fin-Stat'!#REF!</f>
        <v>#REF!</v>
      </c>
      <c r="K73" s="762" t="e">
        <f>'4_Fin-Stat'!#REF!</f>
        <v>#REF!</v>
      </c>
      <c r="L73" s="762" t="e">
        <f>'4_Fin-Stat'!#REF!</f>
        <v>#REF!</v>
      </c>
      <c r="M73" s="762" t="e">
        <f>'4_Fin-Stat'!#REF!</f>
        <v>#REF!</v>
      </c>
      <c r="N73" s="762" t="e">
        <f>'4_Fin-Stat'!#REF!</f>
        <v>#REF!</v>
      </c>
      <c r="O73" s="762" t="e">
        <f>'4_Fin-Stat'!#REF!</f>
        <v>#REF!</v>
      </c>
      <c r="P73" s="762" t="e">
        <f>'4_Fin-Stat'!#REF!</f>
        <v>#REF!</v>
      </c>
      <c r="Q73" s="762" t="e">
        <f>'4_Fin-Stat'!#REF!</f>
        <v>#REF!</v>
      </c>
      <c r="R73" s="762" t="e">
        <f>'4_Fin-Stat'!#REF!</f>
        <v>#REF!</v>
      </c>
      <c r="S73" s="762" t="e">
        <f>'4_Fin-Stat'!#REF!</f>
        <v>#REF!</v>
      </c>
      <c r="T73" s="762" t="e">
        <f>'4_Fin-Stat'!#REF!</f>
        <v>#REF!</v>
      </c>
      <c r="U73" s="762" t="e">
        <f>'4_Fin-Stat'!#REF!</f>
        <v>#REF!</v>
      </c>
      <c r="V73" s="762" t="e">
        <f>'4_Fin-Stat'!#REF!</f>
        <v>#REF!</v>
      </c>
      <c r="W73" s="762" t="e">
        <f>'4_Fin-Stat'!#REF!</f>
        <v>#REF!</v>
      </c>
      <c r="X73" s="762" t="e">
        <f>'4_Fin-Stat'!#REF!</f>
        <v>#REF!</v>
      </c>
      <c r="Y73" s="762" t="e">
        <f>'4_Fin-Stat'!#REF!</f>
        <v>#REF!</v>
      </c>
      <c r="Z73" s="762" t="e">
        <f>'4_Fin-Stat'!#REF!</f>
        <v>#REF!</v>
      </c>
      <c r="AA73" s="762" t="e">
        <f>'4_Fin-Stat'!#REF!</f>
        <v>#REF!</v>
      </c>
    </row>
    <row r="74" spans="1:27" ht="13.5" thickBot="1">
      <c r="A74" s="955"/>
      <c r="B74" s="784"/>
      <c r="C74" s="955" t="s">
        <v>165</v>
      </c>
      <c r="D74" s="955"/>
      <c r="E74" s="784"/>
      <c r="F74" s="956" t="e">
        <f t="shared" ref="F74:AA74" si="17">F51+F58+F71+F72+F73</f>
        <v>#REF!</v>
      </c>
      <c r="G74" s="956" t="e">
        <f t="shared" si="17"/>
        <v>#REF!</v>
      </c>
      <c r="H74" s="956" t="e">
        <f t="shared" si="17"/>
        <v>#REF!</v>
      </c>
      <c r="I74" s="956" t="e">
        <f t="shared" si="17"/>
        <v>#REF!</v>
      </c>
      <c r="J74" s="956" t="e">
        <f t="shared" si="17"/>
        <v>#REF!</v>
      </c>
      <c r="K74" s="956" t="e">
        <f t="shared" si="17"/>
        <v>#REF!</v>
      </c>
      <c r="L74" s="956" t="e">
        <f t="shared" si="17"/>
        <v>#REF!</v>
      </c>
      <c r="M74" s="956" t="e">
        <f t="shared" si="17"/>
        <v>#REF!</v>
      </c>
      <c r="N74" s="956" t="e">
        <f t="shared" si="17"/>
        <v>#REF!</v>
      </c>
      <c r="O74" s="956" t="e">
        <f t="shared" si="17"/>
        <v>#REF!</v>
      </c>
      <c r="P74" s="956" t="e">
        <f t="shared" si="17"/>
        <v>#REF!</v>
      </c>
      <c r="Q74" s="956" t="e">
        <f t="shared" si="17"/>
        <v>#REF!</v>
      </c>
      <c r="R74" s="956" t="e">
        <f t="shared" si="17"/>
        <v>#REF!</v>
      </c>
      <c r="S74" s="956" t="e">
        <f t="shared" si="17"/>
        <v>#REF!</v>
      </c>
      <c r="T74" s="956" t="e">
        <f t="shared" si="17"/>
        <v>#REF!</v>
      </c>
      <c r="U74" s="956" t="e">
        <f t="shared" si="17"/>
        <v>#REF!</v>
      </c>
      <c r="V74" s="956" t="e">
        <f t="shared" si="17"/>
        <v>#REF!</v>
      </c>
      <c r="W74" s="956" t="e">
        <f t="shared" si="17"/>
        <v>#REF!</v>
      </c>
      <c r="X74" s="956" t="e">
        <f t="shared" si="17"/>
        <v>#REF!</v>
      </c>
      <c r="Y74" s="956" t="e">
        <f t="shared" si="17"/>
        <v>#REF!</v>
      </c>
      <c r="Z74" s="956" t="e">
        <f t="shared" si="17"/>
        <v>#REF!</v>
      </c>
      <c r="AA74" s="956" t="e">
        <f t="shared" si="17"/>
        <v>#REF!</v>
      </c>
    </row>
    <row r="75" spans="1:27" ht="13.5" thickTop="1">
      <c r="A75" s="784"/>
      <c r="B75" s="955"/>
      <c r="C75" s="955"/>
      <c r="D75" s="955"/>
      <c r="E75" s="964" t="s">
        <v>93</v>
      </c>
      <c r="F75" s="787" t="e">
        <f t="shared" ref="F75:AA75" si="18">F37-F74</f>
        <v>#REF!</v>
      </c>
      <c r="G75" s="787" t="e">
        <f t="shared" si="18"/>
        <v>#REF!</v>
      </c>
      <c r="H75" s="787" t="e">
        <f t="shared" si="18"/>
        <v>#REF!</v>
      </c>
      <c r="I75" s="787" t="e">
        <f t="shared" si="18"/>
        <v>#REF!</v>
      </c>
      <c r="J75" s="787" t="e">
        <f t="shared" si="18"/>
        <v>#REF!</v>
      </c>
      <c r="K75" s="787" t="e">
        <f t="shared" si="18"/>
        <v>#REF!</v>
      </c>
      <c r="L75" s="787" t="e">
        <f t="shared" si="18"/>
        <v>#REF!</v>
      </c>
      <c r="M75" s="787" t="e">
        <f t="shared" si="18"/>
        <v>#REF!</v>
      </c>
      <c r="N75" s="787" t="e">
        <f t="shared" si="18"/>
        <v>#REF!</v>
      </c>
      <c r="O75" s="787" t="e">
        <f t="shared" si="18"/>
        <v>#REF!</v>
      </c>
      <c r="P75" s="787" t="e">
        <f t="shared" si="18"/>
        <v>#REF!</v>
      </c>
      <c r="Q75" s="787" t="e">
        <f t="shared" si="18"/>
        <v>#REF!</v>
      </c>
      <c r="R75" s="787" t="e">
        <f t="shared" si="18"/>
        <v>#REF!</v>
      </c>
      <c r="S75" s="787" t="e">
        <f t="shared" si="18"/>
        <v>#REF!</v>
      </c>
      <c r="T75" s="787" t="e">
        <f t="shared" si="18"/>
        <v>#REF!</v>
      </c>
      <c r="U75" s="787" t="e">
        <f t="shared" si="18"/>
        <v>#REF!</v>
      </c>
      <c r="V75" s="787" t="e">
        <f t="shared" si="18"/>
        <v>#REF!</v>
      </c>
      <c r="W75" s="787" t="e">
        <f t="shared" si="18"/>
        <v>#REF!</v>
      </c>
      <c r="X75" s="787" t="e">
        <f t="shared" si="18"/>
        <v>#REF!</v>
      </c>
      <c r="Y75" s="787" t="e">
        <f t="shared" si="18"/>
        <v>#REF!</v>
      </c>
      <c r="Z75" s="787" t="e">
        <f t="shared" si="18"/>
        <v>#REF!</v>
      </c>
      <c r="AA75" s="787" t="e">
        <f t="shared" si="18"/>
        <v>#REF!</v>
      </c>
    </row>
  </sheetData>
  <mergeCells count="7">
    <mergeCell ref="P1:R1"/>
    <mergeCell ref="F38:G38"/>
    <mergeCell ref="L38:N38"/>
    <mergeCell ref="I38:K38"/>
    <mergeCell ref="F1:G1"/>
    <mergeCell ref="I1:K1"/>
    <mergeCell ref="L1:N1"/>
  </mergeCells>
  <pageMargins left="0.7" right="0.7" top="0.75" bottom="0.75" header="0.3" footer="0.3"/>
  <pageSetup paperSize="9" scale="54" fitToHeight="0" orientation="landscape" horizontalDpi="0"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C0F9-5D7A-48E2-9730-E0E88D184EB9}">
  <sheetPr>
    <pageSetUpPr fitToPage="1"/>
  </sheetPr>
  <dimension ref="A1:AC463"/>
  <sheetViews>
    <sheetView workbookViewId="0"/>
  </sheetViews>
  <sheetFormatPr defaultRowHeight="12.75"/>
  <cols>
    <col min="5" max="5" width="5.28515625" customWidth="1"/>
    <col min="7" max="7" width="10.28515625" customWidth="1"/>
  </cols>
  <sheetData>
    <row r="1" spans="1:29" ht="18">
      <c r="A1" s="621" t="s">
        <v>193</v>
      </c>
      <c r="B1" s="710"/>
      <c r="C1" s="710"/>
      <c r="D1" s="710"/>
      <c r="E1" s="1574" t="e">
        <f>#REF!</f>
        <v>#REF!</v>
      </c>
      <c r="F1" s="1575"/>
      <c r="G1" s="1575"/>
      <c r="H1" s="1575"/>
      <c r="L1" s="28"/>
      <c r="M1" s="979"/>
      <c r="N1" s="979"/>
      <c r="O1" s="718"/>
      <c r="P1" s="719"/>
      <c r="Q1" s="6"/>
      <c r="R1" s="6"/>
      <c r="S1" s="6"/>
      <c r="T1" s="6"/>
      <c r="U1" s="6"/>
      <c r="V1" s="6"/>
      <c r="W1" s="1552" t="s">
        <v>464</v>
      </c>
      <c r="X1" s="1553"/>
      <c r="Y1" s="1553"/>
      <c r="Z1" s="1553"/>
      <c r="AA1" s="1554">
        <f>'4_Fin-Stat'!$AA$40+0.21</f>
        <v>0.21</v>
      </c>
      <c r="AB1" s="998" t="s">
        <v>333</v>
      </c>
    </row>
    <row r="2" spans="1:29">
      <c r="A2" s="520" t="s">
        <v>331</v>
      </c>
      <c r="B2" s="747"/>
      <c r="C2" s="748"/>
      <c r="D2" s="749"/>
      <c r="E2" s="34"/>
      <c r="F2" s="34">
        <v>0</v>
      </c>
      <c r="G2" s="34">
        <f t="shared" ref="G2:AB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si="0"/>
        <v>18</v>
      </c>
      <c r="Y2" s="34">
        <f t="shared" si="0"/>
        <v>19</v>
      </c>
      <c r="Z2" s="34">
        <f t="shared" si="0"/>
        <v>20</v>
      </c>
      <c r="AA2" s="34">
        <f t="shared" si="0"/>
        <v>21</v>
      </c>
      <c r="AB2" s="34">
        <f t="shared" si="0"/>
        <v>22</v>
      </c>
    </row>
    <row r="3" spans="1:29">
      <c r="A3" s="34" t="s">
        <v>42</v>
      </c>
      <c r="D3" s="46" t="s">
        <v>43</v>
      </c>
      <c r="E3" s="46" t="s">
        <v>44</v>
      </c>
      <c r="F3" s="980">
        <v>1999</v>
      </c>
      <c r="G3" s="980">
        <f t="shared" si="0"/>
        <v>2000</v>
      </c>
      <c r="H3" s="980">
        <f t="shared" si="0"/>
        <v>2001</v>
      </c>
      <c r="I3" s="980">
        <f t="shared" si="0"/>
        <v>2002</v>
      </c>
      <c r="J3" s="980">
        <f t="shared" si="0"/>
        <v>2003</v>
      </c>
      <c r="K3" s="980">
        <f t="shared" si="0"/>
        <v>2004</v>
      </c>
      <c r="L3" s="980">
        <f t="shared" si="0"/>
        <v>2005</v>
      </c>
      <c r="M3" s="980">
        <f t="shared" si="0"/>
        <v>2006</v>
      </c>
      <c r="N3" s="980">
        <v>2007</v>
      </c>
      <c r="O3" s="980">
        <f t="shared" si="0"/>
        <v>2008</v>
      </c>
      <c r="P3" s="980">
        <f t="shared" si="0"/>
        <v>2009</v>
      </c>
      <c r="Q3" s="980">
        <f t="shared" si="0"/>
        <v>2010</v>
      </c>
      <c r="R3" s="980">
        <f t="shared" si="0"/>
        <v>2011</v>
      </c>
      <c r="S3" s="980">
        <f t="shared" si="0"/>
        <v>2012</v>
      </c>
      <c r="T3" s="980">
        <f t="shared" si="0"/>
        <v>2013</v>
      </c>
      <c r="U3" s="980">
        <f t="shared" si="0"/>
        <v>2014</v>
      </c>
      <c r="V3" s="980">
        <f t="shared" si="0"/>
        <v>2015</v>
      </c>
      <c r="W3" s="980">
        <f t="shared" si="0"/>
        <v>2016</v>
      </c>
      <c r="X3" s="980">
        <f t="shared" si="0"/>
        <v>2017</v>
      </c>
      <c r="Y3" s="980">
        <f t="shared" si="0"/>
        <v>2018</v>
      </c>
      <c r="Z3" s="980">
        <f t="shared" si="0"/>
        <v>2019</v>
      </c>
      <c r="AA3" s="980">
        <f t="shared" si="0"/>
        <v>2020</v>
      </c>
      <c r="AB3" s="980">
        <f t="shared" si="0"/>
        <v>2021</v>
      </c>
    </row>
    <row r="4" spans="1:29" ht="18">
      <c r="A4" s="960" t="s">
        <v>465</v>
      </c>
      <c r="B4" s="960"/>
      <c r="C4" s="960"/>
      <c r="D4" s="960"/>
      <c r="E4" s="960"/>
      <c r="F4" s="42"/>
      <c r="H4" s="34">
        <f>M2</f>
        <v>7</v>
      </c>
      <c r="M4" s="42"/>
      <c r="N4" s="42"/>
      <c r="O4" s="42"/>
      <c r="P4" s="42">
        <f>M2</f>
        <v>7</v>
      </c>
      <c r="Q4" s="42"/>
      <c r="R4" s="42"/>
      <c r="S4" s="42"/>
      <c r="T4" s="42">
        <f>N2</f>
        <v>8</v>
      </c>
      <c r="U4" s="42"/>
      <c r="V4" s="42"/>
      <c r="W4" s="1623"/>
      <c r="X4" s="1623"/>
      <c r="Y4" s="1623"/>
      <c r="Z4" s="1623"/>
      <c r="AA4" s="1623"/>
      <c r="AB4" s="1007"/>
      <c r="AC4" s="9"/>
    </row>
    <row r="5" spans="1:29">
      <c r="A5" s="781" t="s">
        <v>466</v>
      </c>
      <c r="B5" s="13"/>
      <c r="C5" s="13"/>
      <c r="D5" s="13"/>
      <c r="E5" s="613"/>
      <c r="F5" s="691"/>
      <c r="W5" s="29"/>
      <c r="X5" s="14"/>
      <c r="Y5" s="14"/>
      <c r="Z5" s="14"/>
      <c r="AA5" s="14"/>
      <c r="AB5" s="9"/>
      <c r="AC5" s="9"/>
    </row>
    <row r="6" spans="1:29">
      <c r="A6" s="34"/>
      <c r="B6" s="43"/>
      <c r="C6" s="43"/>
      <c r="D6" s="43"/>
      <c r="E6" s="4"/>
      <c r="F6" s="1006"/>
      <c r="G6" s="4"/>
      <c r="H6" s="740">
        <v>2006</v>
      </c>
      <c r="Y6" s="45"/>
      <c r="Z6" s="45"/>
      <c r="AA6" s="616"/>
      <c r="AB6" s="616"/>
      <c r="AC6" s="616"/>
    </row>
    <row r="7" spans="1:29">
      <c r="A7" s="34"/>
      <c r="B7" s="43" t="s">
        <v>467</v>
      </c>
      <c r="C7" s="43"/>
      <c r="D7" s="618"/>
      <c r="E7" s="618"/>
      <c r="F7" s="724"/>
      <c r="G7" s="4"/>
      <c r="H7" s="4"/>
      <c r="X7" s="45"/>
      <c r="Y7" s="45"/>
      <c r="Z7" s="45"/>
      <c r="AA7" s="34"/>
      <c r="AB7" s="34"/>
      <c r="AC7" s="34"/>
    </row>
    <row r="8" spans="1:29">
      <c r="A8" s="34"/>
      <c r="E8" s="185"/>
      <c r="F8" s="707"/>
      <c r="X8" s="45"/>
      <c r="Y8" s="45"/>
      <c r="Z8" s="45"/>
      <c r="AA8" s="34"/>
      <c r="AB8" s="34"/>
      <c r="AC8" s="34"/>
    </row>
    <row r="9" spans="1:29">
      <c r="A9" s="34"/>
      <c r="B9" s="34" t="s">
        <v>135</v>
      </c>
      <c r="C9" s="34"/>
      <c r="D9" s="185"/>
      <c r="F9" s="707"/>
      <c r="H9" s="616">
        <v>-7994</v>
      </c>
      <c r="X9" s="45"/>
      <c r="Y9" s="45"/>
      <c r="Z9" s="45"/>
      <c r="AA9" s="34"/>
      <c r="AB9" s="34"/>
      <c r="AC9" s="34"/>
    </row>
    <row r="10" spans="1:29">
      <c r="A10" s="34"/>
      <c r="B10" s="34" t="s">
        <v>200</v>
      </c>
      <c r="C10" s="34"/>
      <c r="D10" s="185"/>
      <c r="F10" s="707"/>
      <c r="H10" s="616">
        <v>60553</v>
      </c>
      <c r="X10" s="45"/>
      <c r="Y10" s="45"/>
      <c r="Z10" s="45"/>
      <c r="AA10" s="34"/>
      <c r="AB10" s="34"/>
      <c r="AC10" s="34"/>
    </row>
    <row r="11" spans="1:29">
      <c r="A11" s="34"/>
      <c r="B11" s="34" t="s">
        <v>201</v>
      </c>
      <c r="C11" s="34"/>
      <c r="D11" s="185"/>
      <c r="F11" s="707"/>
      <c r="H11" s="616">
        <v>-6560</v>
      </c>
      <c r="X11" s="45"/>
      <c r="Y11" s="45"/>
      <c r="Z11" s="45"/>
      <c r="AA11" s="34"/>
      <c r="AB11" s="34"/>
      <c r="AC11" s="34"/>
    </row>
    <row r="12" spans="1:29">
      <c r="A12" s="34"/>
      <c r="B12" s="34" t="s">
        <v>202</v>
      </c>
      <c r="C12" s="34"/>
      <c r="D12" s="185"/>
      <c r="F12" s="707"/>
      <c r="H12" s="707">
        <v>3614</v>
      </c>
      <c r="X12" s="45"/>
      <c r="Y12" s="45"/>
      <c r="Z12" s="45"/>
      <c r="AA12" s="34"/>
      <c r="AB12" s="34"/>
      <c r="AC12" s="34"/>
    </row>
    <row r="13" spans="1:29">
      <c r="A13" s="34"/>
      <c r="B13" s="34" t="s">
        <v>203</v>
      </c>
      <c r="C13" s="34"/>
      <c r="D13" s="185"/>
      <c r="F13" s="707"/>
      <c r="H13" s="616">
        <v>132</v>
      </c>
      <c r="X13" s="45"/>
      <c r="Y13" s="45"/>
      <c r="Z13" s="45"/>
      <c r="AA13" s="34"/>
      <c r="AB13" s="34"/>
      <c r="AC13" s="34"/>
    </row>
    <row r="14" spans="1:29">
      <c r="A14" s="34"/>
      <c r="B14" s="34" t="s">
        <v>204</v>
      </c>
      <c r="C14" s="34"/>
      <c r="D14" s="185"/>
      <c r="F14" s="707"/>
      <c r="H14" s="616">
        <v>-3614</v>
      </c>
      <c r="X14" s="45"/>
      <c r="Y14" s="45"/>
      <c r="Z14" s="45"/>
      <c r="AA14" s="34"/>
      <c r="AB14" s="34"/>
      <c r="AC14" s="34"/>
    </row>
    <row r="15" spans="1:29" ht="13.5" thickBot="1">
      <c r="A15" s="34"/>
      <c r="B15" s="613" t="s">
        <v>205</v>
      </c>
      <c r="C15" s="34"/>
      <c r="D15" s="185"/>
      <c r="F15" s="707"/>
      <c r="H15" s="725">
        <f>SUM(H9:H14)</f>
        <v>46131</v>
      </c>
      <c r="X15" s="45"/>
      <c r="Y15" s="45"/>
      <c r="Z15" s="45"/>
      <c r="AA15" s="34"/>
      <c r="AB15" s="34"/>
      <c r="AC15" s="34"/>
    </row>
    <row r="16" spans="1:29" ht="13.5" thickTop="1">
      <c r="A16" s="34"/>
      <c r="B16" s="34"/>
      <c r="C16" s="34"/>
      <c r="D16" s="185"/>
      <c r="F16" s="707"/>
      <c r="H16" s="616"/>
      <c r="X16" s="45"/>
      <c r="Y16" s="45"/>
      <c r="Z16" s="45"/>
      <c r="AA16" s="34"/>
      <c r="AB16" s="34"/>
      <c r="AC16" s="34"/>
    </row>
    <row r="17" spans="1:29">
      <c r="A17" s="34"/>
      <c r="B17" s="34" t="s">
        <v>200</v>
      </c>
      <c r="C17" s="34"/>
      <c r="D17" s="185"/>
      <c r="F17" s="707"/>
      <c r="H17" s="616">
        <v>21004</v>
      </c>
      <c r="X17" s="45"/>
      <c r="Y17" s="45"/>
      <c r="Z17" s="45"/>
      <c r="AA17" s="34"/>
      <c r="AB17" s="34"/>
      <c r="AC17" s="34"/>
    </row>
    <row r="18" spans="1:29">
      <c r="A18" s="34"/>
      <c r="B18" s="34" t="s">
        <v>182</v>
      </c>
      <c r="C18" s="34"/>
      <c r="D18" s="185"/>
      <c r="F18" s="707"/>
      <c r="H18" s="616">
        <v>5545</v>
      </c>
      <c r="X18" s="45"/>
      <c r="Y18" s="45"/>
      <c r="Z18" s="45"/>
      <c r="AA18" s="34"/>
      <c r="AB18" s="34"/>
      <c r="AC18" s="34"/>
    </row>
    <row r="19" spans="1:29">
      <c r="A19" s="34"/>
      <c r="B19" s="34" t="s">
        <v>207</v>
      </c>
      <c r="C19" s="34"/>
      <c r="D19" s="185"/>
      <c r="F19" s="707"/>
      <c r="H19" s="707">
        <v>818870</v>
      </c>
      <c r="X19" s="45"/>
      <c r="Y19" s="45"/>
      <c r="Z19" s="45"/>
      <c r="AA19" s="34"/>
      <c r="AB19" s="34"/>
      <c r="AC19" s="34"/>
    </row>
    <row r="20" spans="1:29">
      <c r="A20" s="34"/>
      <c r="B20" s="34" t="s">
        <v>208</v>
      </c>
      <c r="C20" s="34"/>
      <c r="D20" s="185"/>
      <c r="F20" s="707"/>
      <c r="H20" s="616">
        <v>-1</v>
      </c>
      <c r="X20" s="45"/>
      <c r="Y20" s="45"/>
      <c r="Z20" s="45"/>
      <c r="AA20" s="34"/>
      <c r="AB20" s="34"/>
      <c r="AC20" s="34"/>
    </row>
    <row r="21" spans="1:29" ht="13.5" thickBot="1">
      <c r="A21" s="34"/>
      <c r="B21" s="613" t="s">
        <v>209</v>
      </c>
      <c r="C21" s="34"/>
      <c r="D21" s="185"/>
      <c r="F21" s="707"/>
      <c r="H21" s="725">
        <f>SUM(H17:H20)</f>
        <v>845418</v>
      </c>
      <c r="X21" s="45"/>
      <c r="Y21" s="45"/>
      <c r="Z21" s="45"/>
      <c r="AA21" s="34"/>
      <c r="AB21" s="34"/>
      <c r="AC21" s="34"/>
    </row>
    <row r="22" spans="1:29" ht="13.5" thickTop="1">
      <c r="A22" s="34"/>
      <c r="B22" s="613" t="s">
        <v>210</v>
      </c>
      <c r="C22" s="34"/>
      <c r="D22" s="185"/>
      <c r="F22" s="707"/>
      <c r="H22" s="616">
        <f>H21-H15</f>
        <v>799287</v>
      </c>
      <c r="X22" s="45"/>
      <c r="Y22" s="45"/>
      <c r="Z22" s="45"/>
      <c r="AA22" s="34"/>
      <c r="AB22" s="34"/>
      <c r="AC22" s="34"/>
    </row>
    <row r="23" spans="1:29">
      <c r="A23" s="34"/>
      <c r="B23" s="613"/>
      <c r="C23" s="34"/>
      <c r="D23" s="185"/>
      <c r="F23" s="707"/>
      <c r="H23" s="616"/>
      <c r="X23" s="45"/>
      <c r="Y23" s="45"/>
      <c r="Z23" s="45"/>
      <c r="AA23" s="34"/>
      <c r="AB23" s="34"/>
      <c r="AC23" s="34"/>
    </row>
    <row r="24" spans="1:29" ht="13.5" thickBot="1">
      <c r="A24" s="34"/>
      <c r="B24" s="613" t="s">
        <v>192</v>
      </c>
      <c r="C24" s="34"/>
      <c r="D24" s="185"/>
      <c r="F24" s="707"/>
      <c r="H24" s="764">
        <v>799287</v>
      </c>
      <c r="X24" s="45"/>
      <c r="Y24" s="45"/>
      <c r="Z24" s="45"/>
      <c r="AA24" s="34"/>
      <c r="AB24" s="34"/>
      <c r="AC24" s="34"/>
    </row>
    <row r="25" spans="1:29" ht="13.5" thickTop="1">
      <c r="A25" s="34"/>
      <c r="X25" s="45"/>
      <c r="Y25" s="45"/>
      <c r="Z25" s="45"/>
      <c r="AA25" s="34"/>
      <c r="AB25" s="34"/>
      <c r="AC25" s="34"/>
    </row>
    <row r="26" spans="1:29">
      <c r="F26" s="46" t="s">
        <v>44</v>
      </c>
      <c r="G26" s="980">
        <v>2006</v>
      </c>
      <c r="H26" s="980"/>
      <c r="I26" s="980">
        <v>2006</v>
      </c>
      <c r="J26" s="988"/>
      <c r="K26" s="988"/>
      <c r="L26" s="988"/>
      <c r="M26" s="988"/>
      <c r="N26" s="988"/>
      <c r="O26" s="988"/>
      <c r="P26" s="988"/>
      <c r="R26" s="616"/>
      <c r="S26" s="616"/>
      <c r="T26" s="616"/>
      <c r="U26" s="616"/>
      <c r="V26" s="616"/>
      <c r="W26" s="616"/>
    </row>
    <row r="27" spans="1:29">
      <c r="G27" s="37" t="s">
        <v>195</v>
      </c>
      <c r="H27" s="37" t="s">
        <v>468</v>
      </c>
      <c r="I27" s="37" t="s">
        <v>469</v>
      </c>
      <c r="M27" s="707"/>
      <c r="N27" s="707"/>
      <c r="O27" s="707"/>
      <c r="P27" s="616"/>
      <c r="Q27" s="616"/>
      <c r="R27" s="616"/>
      <c r="S27" s="616"/>
      <c r="T27" s="616"/>
      <c r="U27" s="616"/>
      <c r="V27" s="616"/>
      <c r="W27" s="616"/>
    </row>
    <row r="28" spans="1:29">
      <c r="A28" s="1622" t="s">
        <v>18</v>
      </c>
      <c r="B28" s="1622"/>
      <c r="C28" s="1622"/>
      <c r="D28" s="1622"/>
      <c r="G28" s="37"/>
      <c r="H28" s="37"/>
      <c r="I28" s="37"/>
      <c r="M28" s="707"/>
      <c r="N28" s="707"/>
      <c r="O28" s="707"/>
      <c r="P28" s="616"/>
      <c r="Q28" s="616"/>
      <c r="R28" s="616"/>
      <c r="S28" s="616"/>
      <c r="T28" s="616"/>
      <c r="U28" s="616"/>
      <c r="V28" s="616"/>
      <c r="W28" s="616"/>
    </row>
    <row r="29" spans="1:29">
      <c r="A29" s="34"/>
      <c r="B29" s="34" t="s">
        <v>133</v>
      </c>
      <c r="C29" s="34"/>
      <c r="D29" s="34"/>
      <c r="G29" s="616">
        <v>251824</v>
      </c>
      <c r="H29" s="616"/>
      <c r="I29" s="616">
        <f>G29+H29</f>
        <v>251824</v>
      </c>
      <c r="M29" s="707"/>
      <c r="N29" s="707"/>
      <c r="O29" s="707"/>
      <c r="P29" s="616"/>
      <c r="Q29" s="616"/>
      <c r="R29" s="616"/>
      <c r="S29" s="616"/>
      <c r="T29" s="616"/>
      <c r="U29" s="616"/>
      <c r="V29" s="616"/>
      <c r="W29" s="616"/>
    </row>
    <row r="30" spans="1:29">
      <c r="A30" s="34"/>
      <c r="B30" s="34" t="s">
        <v>134</v>
      </c>
      <c r="C30" s="34"/>
      <c r="D30" s="34"/>
      <c r="G30" s="616"/>
      <c r="H30" s="616"/>
      <c r="I30" s="616">
        <f t="shared" ref="I30:I93" si="1">G30+H30</f>
        <v>0</v>
      </c>
      <c r="M30" s="707"/>
      <c r="N30" s="707"/>
      <c r="O30" s="707"/>
      <c r="P30" s="616"/>
      <c r="Q30" s="616"/>
      <c r="R30" s="616"/>
      <c r="S30" s="616"/>
      <c r="T30" s="616"/>
      <c r="U30" s="616"/>
      <c r="V30" s="616"/>
      <c r="W30" s="616"/>
    </row>
    <row r="31" spans="1:29" ht="13.5">
      <c r="A31" s="34"/>
      <c r="B31" s="34" t="s">
        <v>135</v>
      </c>
      <c r="C31" s="754"/>
      <c r="D31" s="754"/>
      <c r="G31" s="616">
        <v>230433</v>
      </c>
      <c r="H31" s="616">
        <v>-7994</v>
      </c>
      <c r="I31" s="616">
        <f t="shared" si="1"/>
        <v>222439</v>
      </c>
      <c r="M31" s="707"/>
      <c r="N31" s="707"/>
      <c r="O31" s="707"/>
      <c r="P31" s="616"/>
      <c r="Q31" s="616"/>
      <c r="R31" s="616"/>
      <c r="S31" s="616"/>
      <c r="T31" s="616"/>
      <c r="U31" s="616"/>
      <c r="V31" s="616"/>
      <c r="W31" s="616"/>
    </row>
    <row r="32" spans="1:29" ht="13.5">
      <c r="A32" s="34"/>
      <c r="B32" s="34" t="s">
        <v>137</v>
      </c>
      <c r="C32" s="754"/>
      <c r="D32" s="754"/>
      <c r="G32" s="702">
        <v>-3730</v>
      </c>
      <c r="H32" s="616"/>
      <c r="I32" s="702">
        <f t="shared" si="1"/>
        <v>-3730</v>
      </c>
      <c r="M32" s="707"/>
      <c r="N32" s="707"/>
      <c r="O32" s="707"/>
      <c r="P32" s="616"/>
      <c r="Q32" s="616"/>
      <c r="R32" s="616"/>
      <c r="S32" s="616"/>
      <c r="T32" s="616"/>
      <c r="U32" s="616"/>
      <c r="V32" s="616"/>
      <c r="W32" s="616"/>
    </row>
    <row r="33" spans="1:23" ht="13.5">
      <c r="A33" s="34"/>
      <c r="B33" s="34" t="s">
        <v>138</v>
      </c>
      <c r="C33" s="754"/>
      <c r="D33" s="754"/>
      <c r="G33" s="616">
        <f>SUM(G31:G32)</f>
        <v>226703</v>
      </c>
      <c r="H33" s="616"/>
      <c r="I33" s="616">
        <f>SUM(I31:I32)</f>
        <v>218709</v>
      </c>
      <c r="M33" s="707"/>
      <c r="N33" s="707"/>
      <c r="O33" s="707"/>
      <c r="P33" s="616"/>
      <c r="Q33" s="616"/>
      <c r="R33" s="616"/>
      <c r="S33" s="616"/>
      <c r="T33" s="616"/>
      <c r="U33" s="616"/>
      <c r="V33" s="616"/>
      <c r="W33" s="616"/>
    </row>
    <row r="34" spans="1:23" ht="13.5">
      <c r="A34" s="34"/>
      <c r="B34" s="34" t="s">
        <v>139</v>
      </c>
      <c r="C34" s="754"/>
      <c r="D34" s="754"/>
      <c r="G34" s="616">
        <v>7425</v>
      </c>
      <c r="H34" s="616"/>
      <c r="I34" s="616">
        <f t="shared" si="1"/>
        <v>7425</v>
      </c>
      <c r="M34" s="707"/>
      <c r="N34" s="707"/>
      <c r="O34" s="707"/>
      <c r="P34" s="616"/>
      <c r="Q34" s="616"/>
      <c r="R34" s="616"/>
      <c r="S34" s="616"/>
      <c r="T34" s="616"/>
      <c r="U34" s="616"/>
      <c r="V34" s="616"/>
      <c r="W34" s="616"/>
    </row>
    <row r="35" spans="1:23" ht="13.5">
      <c r="A35" s="34"/>
      <c r="B35" s="34" t="s">
        <v>140</v>
      </c>
      <c r="C35" s="754"/>
      <c r="D35" s="754"/>
      <c r="G35" s="616">
        <v>0</v>
      </c>
      <c r="H35" s="616"/>
      <c r="I35" s="616">
        <f t="shared" si="1"/>
        <v>0</v>
      </c>
      <c r="M35" s="707"/>
      <c r="N35" s="707"/>
      <c r="O35" s="707"/>
      <c r="P35" s="616"/>
      <c r="Q35" s="616"/>
      <c r="R35" s="616"/>
      <c r="S35" s="616"/>
      <c r="T35" s="616"/>
      <c r="U35" s="616"/>
      <c r="V35" s="616"/>
      <c r="W35" s="616"/>
    </row>
    <row r="36" spans="1:23">
      <c r="A36" s="34"/>
      <c r="B36" s="34" t="s">
        <v>141</v>
      </c>
      <c r="C36" s="34"/>
      <c r="D36" s="34"/>
      <c r="G36" s="616">
        <v>3106</v>
      </c>
      <c r="H36" s="616"/>
      <c r="I36" s="616">
        <f t="shared" si="1"/>
        <v>3106</v>
      </c>
      <c r="M36" s="707"/>
      <c r="N36" s="707"/>
      <c r="O36" s="707"/>
      <c r="P36" s="616"/>
      <c r="Q36" s="616"/>
      <c r="R36" s="616"/>
      <c r="S36" s="616"/>
      <c r="T36" s="616"/>
      <c r="U36" s="616"/>
      <c r="V36" s="616"/>
      <c r="W36" s="616"/>
    </row>
    <row r="37" spans="1:23">
      <c r="A37" s="34"/>
      <c r="B37" s="34" t="s">
        <v>142</v>
      </c>
      <c r="C37" s="34"/>
      <c r="D37" s="34"/>
      <c r="G37" s="702">
        <v>0</v>
      </c>
      <c r="H37" s="616"/>
      <c r="I37" s="702">
        <f t="shared" si="1"/>
        <v>0</v>
      </c>
      <c r="M37" s="707"/>
      <c r="N37" s="707"/>
      <c r="O37" s="707"/>
      <c r="P37" s="616"/>
      <c r="Q37" s="616"/>
      <c r="R37" s="616"/>
      <c r="S37" s="616"/>
      <c r="T37" s="616"/>
      <c r="U37" s="616"/>
      <c r="V37" s="616"/>
      <c r="W37" s="616"/>
    </row>
    <row r="38" spans="1:23">
      <c r="A38" s="34"/>
      <c r="B38" s="34"/>
      <c r="C38" s="34"/>
      <c r="D38" s="34"/>
      <c r="G38" s="616">
        <f>SUM(G34:G37)</f>
        <v>10531</v>
      </c>
      <c r="H38" s="616"/>
      <c r="I38" s="616">
        <f>SUM(I34:I37)</f>
        <v>10531</v>
      </c>
      <c r="M38" s="707"/>
      <c r="N38" s="707"/>
      <c r="O38" s="707"/>
      <c r="P38" s="616"/>
      <c r="Q38" s="616"/>
      <c r="R38" s="616"/>
      <c r="S38" s="616"/>
      <c r="T38" s="616"/>
      <c r="U38" s="616"/>
      <c r="V38" s="616"/>
      <c r="W38" s="616"/>
    </row>
    <row r="39" spans="1:23">
      <c r="A39" s="34"/>
      <c r="B39" s="34" t="s">
        <v>143</v>
      </c>
      <c r="C39" s="34"/>
      <c r="D39" s="34"/>
      <c r="G39" s="616">
        <v>0</v>
      </c>
      <c r="H39" s="616"/>
      <c r="I39" s="616">
        <f t="shared" si="1"/>
        <v>0</v>
      </c>
      <c r="M39" s="707"/>
      <c r="N39" s="707"/>
      <c r="O39" s="707"/>
      <c r="P39" s="616"/>
      <c r="Q39" s="616"/>
      <c r="R39" s="616"/>
      <c r="S39" s="616"/>
      <c r="T39" s="616"/>
      <c r="U39" s="616"/>
      <c r="V39" s="616"/>
      <c r="W39" s="616"/>
    </row>
    <row r="40" spans="1:23">
      <c r="A40" s="34"/>
      <c r="B40" s="34" t="s">
        <v>144</v>
      </c>
      <c r="C40" s="34"/>
      <c r="D40" s="34"/>
      <c r="G40" s="616">
        <v>0</v>
      </c>
      <c r="H40" s="616"/>
      <c r="I40" s="616">
        <f t="shared" si="1"/>
        <v>0</v>
      </c>
      <c r="M40" s="707"/>
      <c r="N40" s="707"/>
      <c r="O40" s="707"/>
      <c r="P40" s="616"/>
      <c r="Q40" s="616"/>
      <c r="R40" s="616"/>
      <c r="S40" s="616"/>
      <c r="T40" s="616"/>
      <c r="U40" s="616"/>
      <c r="V40" s="616"/>
      <c r="W40" s="616"/>
    </row>
    <row r="41" spans="1:23">
      <c r="A41" s="34"/>
      <c r="B41" s="34" t="s">
        <v>145</v>
      </c>
      <c r="C41" s="34"/>
      <c r="D41" s="34"/>
      <c r="G41" s="616">
        <v>0</v>
      </c>
      <c r="H41" s="616"/>
      <c r="I41" s="616">
        <f t="shared" si="1"/>
        <v>0</v>
      </c>
      <c r="M41" s="707"/>
      <c r="N41" s="707"/>
      <c r="O41" s="707"/>
      <c r="P41" s="616"/>
      <c r="Q41" s="616"/>
      <c r="R41" s="616"/>
      <c r="S41" s="616"/>
      <c r="T41" s="616"/>
      <c r="U41" s="616"/>
      <c r="V41" s="616"/>
      <c r="W41" s="616"/>
    </row>
    <row r="42" spans="1:23">
      <c r="A42" s="34"/>
      <c r="B42" s="34" t="s">
        <v>146</v>
      </c>
      <c r="C42" s="34"/>
      <c r="D42" s="34"/>
      <c r="G42" s="616">
        <v>0</v>
      </c>
      <c r="H42" s="616"/>
      <c r="I42" s="616">
        <f t="shared" si="1"/>
        <v>0</v>
      </c>
      <c r="M42" s="707"/>
      <c r="N42" s="707"/>
      <c r="O42" s="707"/>
      <c r="P42" s="616"/>
      <c r="Q42" s="616"/>
      <c r="R42" s="616"/>
      <c r="S42" s="616"/>
      <c r="T42" s="616"/>
      <c r="U42" s="616"/>
      <c r="V42" s="616"/>
      <c r="W42" s="616"/>
    </row>
    <row r="43" spans="1:23">
      <c r="A43" s="34"/>
      <c r="B43" s="34" t="s">
        <v>147</v>
      </c>
      <c r="C43" s="34"/>
      <c r="D43" s="34"/>
      <c r="G43" s="616">
        <v>0</v>
      </c>
      <c r="H43" s="616"/>
      <c r="I43" s="616">
        <f t="shared" si="1"/>
        <v>0</v>
      </c>
      <c r="M43" s="707"/>
      <c r="N43" s="707"/>
      <c r="O43" s="707"/>
      <c r="P43" s="616"/>
      <c r="Q43" s="616"/>
      <c r="R43" s="616"/>
      <c r="S43" s="616"/>
      <c r="T43" s="616"/>
      <c r="U43" s="616"/>
      <c r="V43" s="616"/>
      <c r="W43" s="616"/>
    </row>
    <row r="44" spans="1:23">
      <c r="A44" s="34"/>
      <c r="B44" s="34" t="s">
        <v>148</v>
      </c>
      <c r="C44" s="34"/>
      <c r="D44" s="34"/>
      <c r="G44" s="616">
        <v>23395</v>
      </c>
      <c r="H44" s="616">
        <v>-6560</v>
      </c>
      <c r="I44" s="616">
        <f t="shared" si="1"/>
        <v>16835</v>
      </c>
      <c r="M44" s="707"/>
      <c r="N44" s="707"/>
      <c r="O44" s="707"/>
      <c r="P44" s="616"/>
      <c r="Q44" s="616"/>
      <c r="R44" s="616"/>
      <c r="S44" s="616"/>
      <c r="T44" s="616"/>
      <c r="U44" s="616"/>
      <c r="V44" s="616"/>
      <c r="W44" s="616"/>
    </row>
    <row r="45" spans="1:23">
      <c r="A45" s="34"/>
      <c r="B45" s="34" t="s">
        <v>149</v>
      </c>
      <c r="C45" s="34"/>
      <c r="D45" s="34"/>
      <c r="G45" s="616">
        <v>0</v>
      </c>
      <c r="H45" s="616"/>
      <c r="I45" s="616">
        <f t="shared" si="1"/>
        <v>0</v>
      </c>
      <c r="M45" s="707"/>
      <c r="N45" s="707"/>
      <c r="O45" s="707"/>
      <c r="P45" s="616"/>
      <c r="Q45" s="616"/>
      <c r="R45" s="616"/>
      <c r="S45" s="616"/>
      <c r="T45" s="616"/>
      <c r="U45" s="616"/>
      <c r="V45" s="616"/>
      <c r="W45" s="616"/>
    </row>
    <row r="46" spans="1:23">
      <c r="A46" s="34"/>
      <c r="B46" s="34" t="s">
        <v>150</v>
      </c>
      <c r="C46" s="34"/>
      <c r="D46" s="34"/>
      <c r="G46" s="616">
        <v>8288</v>
      </c>
      <c r="H46" s="616"/>
      <c r="I46" s="616">
        <f t="shared" si="1"/>
        <v>8288</v>
      </c>
      <c r="M46" s="707"/>
      <c r="N46" s="707"/>
      <c r="O46" s="707"/>
      <c r="P46" s="616"/>
      <c r="Q46" s="616"/>
      <c r="R46" s="616"/>
      <c r="S46" s="616"/>
      <c r="T46" s="616"/>
      <c r="U46" s="616"/>
      <c r="V46" s="616"/>
      <c r="W46" s="616"/>
    </row>
    <row r="47" spans="1:23">
      <c r="A47" s="34"/>
      <c r="B47" s="34" t="s">
        <v>151</v>
      </c>
      <c r="C47" s="34"/>
      <c r="D47" s="34"/>
      <c r="G47" s="616" t="e">
        <f>'4_Fin-Stat'!#REF!</f>
        <v>#REF!</v>
      </c>
      <c r="H47" s="616">
        <v>60553</v>
      </c>
      <c r="I47" s="616" t="e">
        <f t="shared" si="1"/>
        <v>#REF!</v>
      </c>
      <c r="M47" s="707"/>
      <c r="N47" s="707"/>
      <c r="O47" s="707"/>
      <c r="P47" s="616"/>
      <c r="Q47" s="616"/>
      <c r="R47" s="616"/>
      <c r="S47" s="616"/>
      <c r="T47" s="616"/>
      <c r="U47" s="616"/>
      <c r="V47" s="616"/>
      <c r="W47" s="616"/>
    </row>
    <row r="48" spans="1:23">
      <c r="A48" s="34"/>
      <c r="B48" s="34" t="s">
        <v>152</v>
      </c>
      <c r="C48" s="34"/>
      <c r="D48" s="34"/>
      <c r="G48" s="702">
        <v>22808</v>
      </c>
      <c r="H48" s="616"/>
      <c r="I48" s="702">
        <f t="shared" si="1"/>
        <v>22808</v>
      </c>
      <c r="M48" s="707"/>
      <c r="N48" s="707"/>
      <c r="O48" s="707"/>
      <c r="P48" s="616"/>
      <c r="Q48" s="616"/>
      <c r="R48" s="616"/>
      <c r="S48" s="616"/>
      <c r="T48" s="616"/>
      <c r="U48" s="616"/>
      <c r="V48" s="616"/>
      <c r="W48" s="616"/>
    </row>
    <row r="49" spans="1:23">
      <c r="A49" s="34"/>
      <c r="B49" s="34"/>
      <c r="C49" s="34"/>
      <c r="D49" s="34"/>
      <c r="G49" s="616" t="e">
        <f>SUM(G39:G48)</f>
        <v>#REF!</v>
      </c>
      <c r="H49" s="616"/>
      <c r="I49" s="616" t="e">
        <f>SUM(I39:I48)</f>
        <v>#REF!</v>
      </c>
      <c r="M49" s="707"/>
      <c r="N49" s="707"/>
      <c r="O49" s="707"/>
      <c r="P49" s="616"/>
      <c r="Q49" s="616"/>
      <c r="R49" s="616"/>
      <c r="S49" s="616"/>
      <c r="T49" s="616"/>
      <c r="U49" s="616"/>
      <c r="V49" s="616"/>
      <c r="W49" s="616"/>
    </row>
    <row r="50" spans="1:23">
      <c r="A50" s="34"/>
      <c r="B50" s="34" t="s">
        <v>143</v>
      </c>
      <c r="C50" s="34"/>
      <c r="D50" s="34"/>
      <c r="G50" s="616">
        <v>0</v>
      </c>
      <c r="H50" s="616"/>
      <c r="I50" s="616">
        <f t="shared" si="1"/>
        <v>0</v>
      </c>
      <c r="M50" s="707"/>
      <c r="N50" s="707"/>
      <c r="O50" s="707"/>
      <c r="P50" s="616"/>
      <c r="Q50" s="616"/>
      <c r="R50" s="616"/>
      <c r="S50" s="616"/>
      <c r="T50" s="616"/>
      <c r="U50" s="616"/>
      <c r="V50" s="616"/>
      <c r="W50" s="616"/>
    </row>
    <row r="51" spans="1:23">
      <c r="A51" s="34"/>
      <c r="B51" s="34" t="s">
        <v>153</v>
      </c>
      <c r="C51" s="34"/>
      <c r="D51" s="34"/>
      <c r="G51" s="616">
        <v>0</v>
      </c>
      <c r="H51" s="616"/>
      <c r="I51" s="616">
        <f t="shared" si="1"/>
        <v>0</v>
      </c>
      <c r="M51" s="707"/>
      <c r="N51" s="707"/>
      <c r="O51" s="707"/>
      <c r="P51" s="616"/>
      <c r="Q51" s="616"/>
      <c r="R51" s="616"/>
      <c r="S51" s="616"/>
      <c r="T51" s="616"/>
      <c r="U51" s="616"/>
      <c r="V51" s="616"/>
      <c r="W51" s="616"/>
    </row>
    <row r="52" spans="1:23">
      <c r="A52" s="34"/>
      <c r="B52" s="34" t="s">
        <v>154</v>
      </c>
      <c r="C52" s="34"/>
      <c r="D52" s="34"/>
      <c r="G52" s="616">
        <v>0</v>
      </c>
      <c r="H52" s="616"/>
      <c r="I52" s="616">
        <f t="shared" si="1"/>
        <v>0</v>
      </c>
      <c r="M52" s="707"/>
      <c r="N52" s="707"/>
      <c r="O52" s="707"/>
      <c r="P52" s="616"/>
      <c r="Q52" s="616"/>
      <c r="R52" s="616"/>
      <c r="S52" s="616"/>
      <c r="T52" s="616"/>
      <c r="U52" s="616"/>
      <c r="V52" s="616"/>
      <c r="W52" s="616"/>
    </row>
    <row r="53" spans="1:23">
      <c r="A53" s="34"/>
      <c r="B53" s="34" t="s">
        <v>155</v>
      </c>
      <c r="C53" s="34"/>
      <c r="D53" s="34"/>
      <c r="G53" s="616">
        <v>0</v>
      </c>
      <c r="H53" s="616"/>
      <c r="I53" s="616">
        <f t="shared" si="1"/>
        <v>0</v>
      </c>
      <c r="M53" s="707"/>
      <c r="N53" s="707"/>
      <c r="O53" s="707"/>
      <c r="P53" s="616"/>
      <c r="Q53" s="616"/>
      <c r="R53" s="616"/>
      <c r="S53" s="616"/>
      <c r="T53" s="616"/>
      <c r="U53" s="616"/>
      <c r="V53" s="616"/>
      <c r="W53" s="616"/>
    </row>
    <row r="54" spans="1:23">
      <c r="A54" s="34"/>
      <c r="B54" s="34" t="s">
        <v>202</v>
      </c>
      <c r="C54" s="34"/>
      <c r="D54" s="34"/>
      <c r="G54" s="616">
        <v>172</v>
      </c>
      <c r="H54" s="616">
        <v>3614</v>
      </c>
      <c r="I54" s="616">
        <f t="shared" si="1"/>
        <v>3786</v>
      </c>
      <c r="M54" s="707"/>
      <c r="N54" s="707"/>
      <c r="O54" s="707"/>
      <c r="P54" s="616"/>
      <c r="Q54" s="616"/>
      <c r="R54" s="616"/>
      <c r="S54" s="616"/>
      <c r="T54" s="616"/>
      <c r="U54" s="616"/>
      <c r="V54" s="616"/>
      <c r="W54" s="616"/>
    </row>
    <row r="55" spans="1:23">
      <c r="A55" s="34"/>
      <c r="B55" s="34" t="s">
        <v>156</v>
      </c>
      <c r="C55" s="34"/>
      <c r="D55" s="34"/>
      <c r="G55" s="702"/>
      <c r="H55" s="616">
        <v>132</v>
      </c>
      <c r="I55" s="702">
        <f t="shared" si="1"/>
        <v>132</v>
      </c>
      <c r="M55" s="707"/>
      <c r="N55" s="707"/>
      <c r="O55" s="707"/>
      <c r="P55" s="616"/>
      <c r="Q55" s="616"/>
      <c r="R55" s="616"/>
      <c r="S55" s="616"/>
      <c r="T55" s="616"/>
      <c r="U55" s="616"/>
      <c r="V55" s="616"/>
      <c r="W55" s="616"/>
    </row>
    <row r="56" spans="1:23">
      <c r="A56" s="34"/>
      <c r="B56" s="34"/>
      <c r="C56" s="34"/>
      <c r="D56" s="34"/>
      <c r="G56" s="616">
        <f>SUM(G50:G55)</f>
        <v>172</v>
      </c>
      <c r="H56" s="616"/>
      <c r="I56" s="616">
        <f>SUM(I50:I55)</f>
        <v>3918</v>
      </c>
      <c r="M56" s="707"/>
      <c r="N56" s="707"/>
      <c r="O56" s="707"/>
      <c r="P56" s="616"/>
      <c r="Q56" s="616"/>
      <c r="R56" s="616"/>
      <c r="S56" s="616"/>
      <c r="T56" s="616"/>
      <c r="U56" s="616"/>
      <c r="V56" s="616"/>
      <c r="W56" s="616"/>
    </row>
    <row r="57" spans="1:23">
      <c r="A57" s="34"/>
      <c r="B57" s="34" t="s">
        <v>130</v>
      </c>
      <c r="C57" s="34"/>
      <c r="D57" s="34"/>
      <c r="G57" s="616"/>
      <c r="H57" s="616"/>
      <c r="I57" s="616"/>
      <c r="M57" s="707"/>
      <c r="N57" s="707"/>
      <c r="O57" s="707"/>
      <c r="P57" s="616"/>
      <c r="Q57" s="616"/>
      <c r="R57" s="616"/>
      <c r="S57" s="616"/>
      <c r="T57" s="616"/>
      <c r="U57" s="616"/>
      <c r="V57" s="616"/>
      <c r="W57" s="616"/>
    </row>
    <row r="58" spans="1:23">
      <c r="A58" s="34"/>
      <c r="B58" s="34" t="s">
        <v>157</v>
      </c>
      <c r="C58" s="34"/>
      <c r="D58" s="34"/>
      <c r="G58" s="616"/>
      <c r="H58" s="616"/>
      <c r="I58" s="616"/>
      <c r="M58" s="707"/>
      <c r="N58" s="707"/>
      <c r="O58" s="707"/>
      <c r="P58" s="616"/>
      <c r="Q58" s="616"/>
      <c r="R58" s="616"/>
      <c r="S58" s="616"/>
      <c r="T58" s="616"/>
      <c r="U58" s="616"/>
      <c r="V58" s="616"/>
      <c r="W58" s="616"/>
    </row>
    <row r="59" spans="1:23">
      <c r="A59" s="34"/>
      <c r="B59" s="34" t="s">
        <v>158</v>
      </c>
      <c r="C59" s="34"/>
      <c r="D59" s="34"/>
      <c r="G59" s="616"/>
      <c r="H59" s="616"/>
      <c r="I59" s="616"/>
      <c r="M59" s="707"/>
      <c r="N59" s="707"/>
      <c r="O59" s="707"/>
      <c r="P59" s="616"/>
      <c r="Q59" s="616"/>
      <c r="R59" s="616"/>
      <c r="S59" s="616"/>
      <c r="T59" s="616"/>
      <c r="U59" s="616"/>
      <c r="V59" s="616"/>
      <c r="W59" s="616"/>
    </row>
    <row r="60" spans="1:23">
      <c r="A60" s="34"/>
      <c r="B60" s="34" t="s">
        <v>159</v>
      </c>
      <c r="C60" s="34"/>
      <c r="D60" s="34"/>
      <c r="G60" s="616"/>
      <c r="H60" s="616"/>
      <c r="I60" s="616"/>
      <c r="M60" s="707"/>
      <c r="N60" s="707"/>
      <c r="O60" s="707"/>
      <c r="P60" s="616"/>
      <c r="Q60" s="616"/>
      <c r="R60" s="616"/>
      <c r="S60" s="616"/>
      <c r="T60" s="616"/>
      <c r="U60" s="616"/>
      <c r="V60" s="616"/>
      <c r="W60" s="616"/>
    </row>
    <row r="61" spans="1:23">
      <c r="A61" s="34"/>
      <c r="B61" s="34" t="s">
        <v>332</v>
      </c>
      <c r="C61" s="34"/>
      <c r="D61" s="34"/>
      <c r="G61" s="616"/>
      <c r="H61" s="616"/>
      <c r="I61" s="616"/>
      <c r="M61" s="707"/>
      <c r="N61" s="707"/>
      <c r="O61" s="707"/>
      <c r="P61" s="616"/>
      <c r="Q61" s="616"/>
      <c r="R61" s="616"/>
      <c r="S61" s="616"/>
      <c r="T61" s="616"/>
      <c r="U61" s="616"/>
      <c r="V61" s="616"/>
      <c r="W61" s="616"/>
    </row>
    <row r="62" spans="1:23">
      <c r="A62" s="34"/>
      <c r="B62" s="34"/>
      <c r="C62" s="34"/>
      <c r="D62" s="34"/>
      <c r="G62" s="616"/>
      <c r="H62" s="616"/>
      <c r="I62" s="616"/>
      <c r="M62" s="707"/>
      <c r="N62" s="707"/>
      <c r="O62" s="707"/>
      <c r="P62" s="616"/>
      <c r="Q62" s="616"/>
      <c r="R62" s="616"/>
      <c r="S62" s="616"/>
      <c r="T62" s="616"/>
      <c r="U62" s="616"/>
      <c r="V62" s="616"/>
      <c r="W62" s="616"/>
    </row>
    <row r="63" spans="1:23">
      <c r="A63" s="34"/>
      <c r="B63" s="34" t="s">
        <v>161</v>
      </c>
      <c r="C63" s="34"/>
      <c r="D63" s="34"/>
      <c r="G63" s="616"/>
      <c r="H63" s="616"/>
      <c r="I63" s="616"/>
      <c r="M63" s="707"/>
      <c r="N63" s="707"/>
      <c r="O63" s="707"/>
      <c r="P63" s="616"/>
      <c r="Q63" s="616"/>
      <c r="R63" s="616"/>
      <c r="S63" s="616"/>
      <c r="T63" s="616"/>
      <c r="U63" s="616"/>
      <c r="V63" s="616"/>
      <c r="W63" s="616"/>
    </row>
    <row r="64" spans="1:23">
      <c r="A64" s="34"/>
      <c r="B64" s="34" t="s">
        <v>162</v>
      </c>
      <c r="C64" s="34"/>
      <c r="D64" s="34"/>
      <c r="G64" s="616"/>
      <c r="H64" s="616"/>
      <c r="I64" s="616"/>
      <c r="M64" s="707"/>
      <c r="N64" s="707"/>
      <c r="O64" s="707"/>
      <c r="P64" s="616"/>
      <c r="Q64" s="616"/>
      <c r="R64" s="616"/>
      <c r="S64" s="616"/>
      <c r="T64" s="616"/>
      <c r="U64" s="616"/>
      <c r="V64" s="616"/>
      <c r="W64" s="616"/>
    </row>
    <row r="65" spans="1:23">
      <c r="A65" s="34"/>
      <c r="B65" s="34" t="s">
        <v>163</v>
      </c>
      <c r="C65" s="34"/>
      <c r="D65" s="34"/>
      <c r="G65" s="616"/>
      <c r="H65" s="616"/>
      <c r="I65" s="616"/>
      <c r="M65" s="707"/>
      <c r="N65" s="707"/>
      <c r="O65" s="707"/>
      <c r="P65" s="616"/>
      <c r="Q65" s="616"/>
      <c r="R65" s="616"/>
      <c r="S65" s="616"/>
      <c r="T65" s="616"/>
      <c r="U65" s="616"/>
      <c r="V65" s="616"/>
      <c r="W65" s="616"/>
    </row>
    <row r="66" spans="1:23">
      <c r="A66" s="34"/>
      <c r="B66" s="34"/>
      <c r="C66" s="34"/>
      <c r="D66" s="34"/>
      <c r="G66" s="616"/>
      <c r="H66" s="616"/>
      <c r="I66" s="616"/>
      <c r="M66" s="707"/>
      <c r="N66" s="707"/>
      <c r="O66" s="707"/>
      <c r="P66" s="616"/>
      <c r="Q66" s="616"/>
      <c r="R66" s="616"/>
      <c r="S66" s="616"/>
      <c r="T66" s="616"/>
      <c r="U66" s="616"/>
      <c r="V66" s="616"/>
      <c r="W66" s="616"/>
    </row>
    <row r="67" spans="1:23">
      <c r="A67" s="34"/>
      <c r="B67" s="34" t="s">
        <v>164</v>
      </c>
      <c r="C67" s="34"/>
      <c r="D67" s="34"/>
      <c r="G67" s="616">
        <v>4795590</v>
      </c>
      <c r="H67" s="616">
        <v>-3614</v>
      </c>
      <c r="I67" s="616">
        <f t="shared" si="1"/>
        <v>4791976</v>
      </c>
      <c r="M67" s="707"/>
      <c r="N67" s="707"/>
      <c r="O67" s="707"/>
      <c r="P67" s="616"/>
      <c r="Q67" s="616"/>
      <c r="R67" s="616"/>
      <c r="S67" s="616"/>
      <c r="T67" s="616"/>
      <c r="U67" s="616"/>
      <c r="V67" s="616"/>
      <c r="W67" s="616"/>
    </row>
    <row r="68" spans="1:23">
      <c r="A68" s="34"/>
      <c r="B68" s="34"/>
      <c r="C68" s="34"/>
      <c r="D68" s="34"/>
      <c r="G68" s="616"/>
      <c r="H68" s="616"/>
      <c r="I68" s="616">
        <f t="shared" si="1"/>
        <v>0</v>
      </c>
      <c r="M68" s="707"/>
      <c r="N68" s="707"/>
      <c r="O68" s="707"/>
      <c r="P68" s="616"/>
      <c r="Q68" s="616"/>
      <c r="R68" s="616"/>
      <c r="S68" s="616"/>
      <c r="T68" s="616"/>
      <c r="U68" s="616"/>
      <c r="V68" s="616"/>
      <c r="W68" s="616"/>
    </row>
    <row r="69" spans="1:23" ht="13.5" thickBot="1">
      <c r="A69" s="34"/>
      <c r="B69" s="613" t="s">
        <v>165</v>
      </c>
      <c r="C69" s="34"/>
      <c r="D69" s="34"/>
      <c r="G69" s="725" t="e">
        <f>G29+G33+G38+G49+G56+G67</f>
        <v>#REF!</v>
      </c>
      <c r="H69" s="1011">
        <f>SUM(H29:H68)</f>
        <v>46131</v>
      </c>
      <c r="I69" s="725" t="e">
        <f>I29+I33+I38+I49+I56+I67</f>
        <v>#REF!</v>
      </c>
      <c r="M69" s="707"/>
      <c r="N69" s="707"/>
      <c r="O69" s="707"/>
      <c r="P69" s="616"/>
      <c r="Q69" s="616"/>
      <c r="R69" s="616"/>
      <c r="S69" s="616"/>
      <c r="T69" s="616"/>
      <c r="U69" s="616"/>
      <c r="V69" s="616"/>
      <c r="W69" s="616"/>
    </row>
    <row r="70" spans="1:23" ht="16.5" thickTop="1">
      <c r="A70" s="981"/>
      <c r="B70" s="981"/>
      <c r="C70" s="981"/>
      <c r="D70" s="973"/>
      <c r="G70" s="616"/>
      <c r="H70" s="616"/>
      <c r="I70" s="616"/>
      <c r="M70" s="707"/>
      <c r="N70" s="707"/>
      <c r="O70" s="707"/>
      <c r="P70" s="616"/>
      <c r="Q70" s="616"/>
      <c r="R70" s="616"/>
      <c r="S70" s="616"/>
      <c r="T70" s="616"/>
      <c r="U70" s="616"/>
      <c r="V70" s="616"/>
      <c r="W70" s="616"/>
    </row>
    <row r="71" spans="1:23" ht="15.75">
      <c r="A71" s="972"/>
      <c r="B71" s="972"/>
      <c r="C71" s="972"/>
      <c r="D71" s="973"/>
      <c r="F71" s="46" t="s">
        <v>44</v>
      </c>
      <c r="G71" s="980">
        <v>2006</v>
      </c>
      <c r="H71" s="980"/>
      <c r="I71" s="980">
        <v>2006</v>
      </c>
      <c r="M71" s="707"/>
      <c r="N71" s="707"/>
      <c r="O71" s="707"/>
      <c r="P71" s="616"/>
      <c r="Q71" s="616"/>
      <c r="R71" s="616"/>
      <c r="S71" s="616"/>
      <c r="T71" s="616"/>
      <c r="U71" s="616"/>
      <c r="V71" s="616"/>
      <c r="W71" s="616"/>
    </row>
    <row r="72" spans="1:23">
      <c r="G72" s="37" t="s">
        <v>195</v>
      </c>
      <c r="H72" s="37" t="s">
        <v>468</v>
      </c>
      <c r="I72" s="37" t="s">
        <v>469</v>
      </c>
      <c r="M72" s="707"/>
      <c r="N72" s="707"/>
      <c r="O72" s="707"/>
      <c r="P72" s="616"/>
      <c r="Q72" s="616"/>
      <c r="R72" s="616"/>
      <c r="S72" s="616"/>
      <c r="T72" s="616"/>
      <c r="U72" s="616"/>
      <c r="V72" s="616"/>
      <c r="W72" s="616"/>
    </row>
    <row r="73" spans="1:23">
      <c r="A73" s="757" t="s">
        <v>20</v>
      </c>
      <c r="B73" s="758"/>
      <c r="C73" s="749"/>
      <c r="D73" s="749"/>
      <c r="G73" s="616"/>
      <c r="H73" s="616"/>
      <c r="I73" s="616"/>
      <c r="M73" s="707"/>
      <c r="N73" s="707"/>
      <c r="O73" s="707"/>
      <c r="P73" s="616"/>
      <c r="Q73" s="616"/>
      <c r="R73" s="616"/>
      <c r="S73" s="616"/>
      <c r="T73" s="616"/>
      <c r="U73" s="616"/>
      <c r="V73" s="616"/>
      <c r="W73" s="616"/>
    </row>
    <row r="74" spans="1:23">
      <c r="A74" s="34"/>
      <c r="B74" s="34" t="s">
        <v>167</v>
      </c>
      <c r="C74" s="34"/>
      <c r="D74" s="34"/>
      <c r="G74" s="616">
        <v>9347</v>
      </c>
      <c r="H74" s="616"/>
      <c r="I74" s="616">
        <f t="shared" si="1"/>
        <v>9347</v>
      </c>
      <c r="M74" s="707"/>
      <c r="N74" s="707"/>
      <c r="O74" s="707"/>
      <c r="P74" s="616"/>
      <c r="Q74" s="616"/>
      <c r="R74" s="616"/>
      <c r="S74" s="616"/>
      <c r="T74" s="616"/>
      <c r="U74" s="616"/>
      <c r="V74" s="616"/>
      <c r="W74" s="616"/>
    </row>
    <row r="75" spans="1:23">
      <c r="A75" s="34"/>
      <c r="B75" s="34" t="s">
        <v>168</v>
      </c>
      <c r="C75" s="34"/>
      <c r="D75" s="34"/>
      <c r="G75" s="616">
        <v>6510</v>
      </c>
      <c r="H75" s="616"/>
      <c r="I75" s="616">
        <f t="shared" si="1"/>
        <v>6510</v>
      </c>
      <c r="M75" s="707"/>
      <c r="N75" s="707"/>
      <c r="O75" s="707"/>
      <c r="P75" s="616"/>
      <c r="Q75" s="616"/>
      <c r="R75" s="616"/>
      <c r="S75" s="616"/>
      <c r="T75" s="616"/>
      <c r="U75" s="616"/>
      <c r="V75" s="616"/>
      <c r="W75" s="616"/>
    </row>
    <row r="76" spans="1:23">
      <c r="A76" s="34"/>
      <c r="B76" s="34" t="s">
        <v>169</v>
      </c>
      <c r="C76" s="34"/>
      <c r="D76" s="34"/>
      <c r="G76" s="616">
        <v>5596</v>
      </c>
      <c r="H76" s="616"/>
      <c r="I76" s="616">
        <f t="shared" si="1"/>
        <v>5596</v>
      </c>
      <c r="M76" s="707"/>
      <c r="N76" s="707"/>
      <c r="O76" s="707"/>
      <c r="P76" s="616"/>
      <c r="Q76" s="616"/>
      <c r="R76" s="616"/>
      <c r="S76" s="616"/>
      <c r="T76" s="616"/>
      <c r="U76" s="616"/>
      <c r="V76" s="616"/>
      <c r="W76" s="616"/>
    </row>
    <row r="77" spans="1:23">
      <c r="A77" s="34"/>
      <c r="B77" s="34" t="s">
        <v>170</v>
      </c>
      <c r="C77" s="34"/>
      <c r="D77" s="34"/>
      <c r="G77" s="616">
        <v>0</v>
      </c>
      <c r="H77" s="616"/>
      <c r="I77" s="616">
        <f t="shared" si="1"/>
        <v>0</v>
      </c>
      <c r="M77" s="707"/>
      <c r="N77" s="707"/>
      <c r="O77" s="707"/>
      <c r="P77" s="616"/>
      <c r="Q77" s="616"/>
      <c r="R77" s="616"/>
      <c r="S77" s="616"/>
      <c r="T77" s="616"/>
      <c r="U77" s="616"/>
      <c r="V77" s="616"/>
      <c r="W77" s="616"/>
    </row>
    <row r="78" spans="1:23">
      <c r="A78" s="34"/>
      <c r="B78" s="34" t="s">
        <v>171</v>
      </c>
      <c r="C78" s="34"/>
      <c r="D78" s="34"/>
      <c r="G78" s="616">
        <v>0</v>
      </c>
      <c r="H78" s="616"/>
      <c r="I78" s="616">
        <f t="shared" si="1"/>
        <v>0</v>
      </c>
      <c r="M78" s="707"/>
      <c r="N78" s="707"/>
      <c r="O78" s="707"/>
      <c r="P78" s="616"/>
      <c r="Q78" s="616"/>
      <c r="R78" s="616"/>
      <c r="S78" s="616"/>
      <c r="T78" s="616"/>
      <c r="U78" s="616"/>
      <c r="V78" s="616"/>
      <c r="W78" s="616"/>
    </row>
    <row r="79" spans="1:23">
      <c r="A79" s="34"/>
      <c r="B79" s="34" t="s">
        <v>172</v>
      </c>
      <c r="C79" s="34"/>
      <c r="D79" s="34"/>
      <c r="G79" s="616">
        <v>165161</v>
      </c>
      <c r="H79" s="616"/>
      <c r="I79" s="616">
        <f t="shared" si="1"/>
        <v>165161</v>
      </c>
      <c r="M79" s="707"/>
      <c r="N79" s="707"/>
      <c r="O79" s="707"/>
      <c r="P79" s="616"/>
      <c r="Q79" s="616"/>
      <c r="R79" s="616"/>
      <c r="S79" s="616"/>
      <c r="T79" s="616"/>
      <c r="U79" s="616"/>
      <c r="V79" s="616"/>
      <c r="W79" s="616"/>
    </row>
    <row r="80" spans="1:23">
      <c r="A80" s="34"/>
      <c r="B80" s="34" t="s">
        <v>173</v>
      </c>
      <c r="C80" s="34"/>
      <c r="D80" s="34"/>
      <c r="G80" s="616">
        <v>0</v>
      </c>
      <c r="H80" s="616"/>
      <c r="I80" s="616">
        <f t="shared" si="1"/>
        <v>0</v>
      </c>
      <c r="M80" s="707"/>
      <c r="N80" s="707"/>
      <c r="O80" s="707"/>
      <c r="P80" s="616"/>
      <c r="Q80" s="616"/>
      <c r="R80" s="616"/>
      <c r="S80" s="616"/>
      <c r="T80" s="616"/>
      <c r="U80" s="616"/>
      <c r="V80" s="616"/>
      <c r="W80" s="616"/>
    </row>
    <row r="81" spans="1:23">
      <c r="A81" s="34"/>
      <c r="B81" s="34" t="s">
        <v>174</v>
      </c>
      <c r="C81" s="34"/>
      <c r="D81" s="34"/>
      <c r="G81" s="616">
        <v>6523</v>
      </c>
      <c r="H81" s="616"/>
      <c r="I81" s="616">
        <f t="shared" si="1"/>
        <v>6523</v>
      </c>
      <c r="M81" s="707"/>
      <c r="N81" s="707"/>
      <c r="O81" s="707"/>
      <c r="P81" s="616"/>
      <c r="Q81" s="616"/>
      <c r="R81" s="616"/>
      <c r="S81" s="616"/>
      <c r="T81" s="616"/>
      <c r="U81" s="616"/>
      <c r="V81" s="616"/>
      <c r="W81" s="616"/>
    </row>
    <row r="82" spans="1:23">
      <c r="A82" s="34"/>
      <c r="B82" s="34" t="s">
        <v>175</v>
      </c>
      <c r="C82" s="34"/>
      <c r="D82" s="34"/>
      <c r="G82" s="616">
        <v>0</v>
      </c>
      <c r="H82" s="616"/>
      <c r="I82" s="616">
        <f t="shared" si="1"/>
        <v>0</v>
      </c>
      <c r="M82" s="707"/>
      <c r="N82" s="707"/>
      <c r="O82" s="707"/>
      <c r="P82" s="616"/>
      <c r="Q82" s="616"/>
      <c r="R82" s="616"/>
      <c r="S82" s="616"/>
      <c r="T82" s="616"/>
      <c r="U82" s="616"/>
      <c r="V82" s="616"/>
      <c r="W82" s="616"/>
    </row>
    <row r="83" spans="1:23">
      <c r="A83" s="34"/>
      <c r="B83" s="34" t="s">
        <v>151</v>
      </c>
      <c r="C83" s="34"/>
      <c r="D83" s="34"/>
      <c r="G83" s="616" t="e">
        <f>'4_Fin-Stat'!#REF!</f>
        <v>#REF!</v>
      </c>
      <c r="H83" s="616"/>
      <c r="I83" s="616" t="e">
        <f t="shared" si="1"/>
        <v>#REF!</v>
      </c>
      <c r="M83" s="707"/>
      <c r="N83" s="707"/>
      <c r="O83" s="707"/>
      <c r="P83" s="616"/>
      <c r="Q83" s="616"/>
      <c r="R83" s="616"/>
      <c r="S83" s="616"/>
      <c r="T83" s="616"/>
      <c r="U83" s="616"/>
      <c r="V83" s="616"/>
      <c r="W83" s="616"/>
    </row>
    <row r="84" spans="1:23">
      <c r="A84" s="34"/>
      <c r="B84" s="34" t="s">
        <v>176</v>
      </c>
      <c r="C84" s="34"/>
      <c r="D84" s="34"/>
      <c r="G84" s="616">
        <v>2085</v>
      </c>
      <c r="H84" s="616"/>
      <c r="I84" s="616">
        <f t="shared" si="1"/>
        <v>2085</v>
      </c>
      <c r="M84" s="707"/>
      <c r="N84" s="707"/>
      <c r="O84" s="707"/>
      <c r="P84" s="616"/>
      <c r="Q84" s="616"/>
      <c r="R84" s="616"/>
      <c r="S84" s="616"/>
      <c r="T84" s="616"/>
      <c r="U84" s="616"/>
      <c r="V84" s="616"/>
      <c r="W84" s="616"/>
    </row>
    <row r="85" spans="1:23">
      <c r="A85" s="34"/>
      <c r="B85" s="34" t="s">
        <v>177</v>
      </c>
      <c r="C85" s="34"/>
      <c r="D85" s="34"/>
      <c r="G85" s="616">
        <v>0</v>
      </c>
      <c r="H85" s="616"/>
      <c r="I85" s="616">
        <f t="shared" si="1"/>
        <v>0</v>
      </c>
      <c r="M85" s="707"/>
      <c r="N85" s="707"/>
      <c r="O85" s="707"/>
      <c r="P85" s="616"/>
      <c r="Q85" s="616"/>
      <c r="R85" s="616"/>
      <c r="S85" s="616"/>
      <c r="T85" s="616"/>
      <c r="U85" s="616"/>
      <c r="V85" s="616"/>
      <c r="W85" s="616"/>
    </row>
    <row r="86" spans="1:23">
      <c r="A86" s="34"/>
      <c r="B86" s="34" t="s">
        <v>178</v>
      </c>
      <c r="C86" s="34"/>
      <c r="D86" s="34"/>
      <c r="G86" s="616">
        <v>0</v>
      </c>
      <c r="H86" s="616"/>
      <c r="I86" s="616">
        <f t="shared" si="1"/>
        <v>0</v>
      </c>
      <c r="M86" s="707"/>
      <c r="N86" s="707"/>
      <c r="O86" s="707"/>
      <c r="P86" s="616"/>
      <c r="Q86" s="616"/>
      <c r="R86" s="616"/>
      <c r="S86" s="616"/>
      <c r="T86" s="616"/>
      <c r="U86" s="616"/>
      <c r="V86" s="616"/>
      <c r="W86" s="616"/>
    </row>
    <row r="87" spans="1:23">
      <c r="A87" s="34"/>
      <c r="B87" s="34" t="s">
        <v>179</v>
      </c>
      <c r="C87" s="34"/>
      <c r="D87" s="34"/>
      <c r="G87" s="702">
        <v>0</v>
      </c>
      <c r="H87" s="616"/>
      <c r="I87" s="702">
        <f t="shared" si="1"/>
        <v>0</v>
      </c>
      <c r="M87" s="707"/>
      <c r="N87" s="707"/>
      <c r="O87" s="707"/>
      <c r="P87" s="616"/>
      <c r="Q87" s="616"/>
      <c r="R87" s="616"/>
      <c r="S87" s="616"/>
      <c r="T87" s="616"/>
      <c r="U87" s="616"/>
      <c r="V87" s="616"/>
      <c r="W87" s="616"/>
    </row>
    <row r="88" spans="1:23">
      <c r="A88" s="34"/>
      <c r="B88" s="34"/>
      <c r="C88" s="34"/>
      <c r="D88" s="34"/>
      <c r="G88" s="616" t="e">
        <f>SUM(G74:G87)</f>
        <v>#REF!</v>
      </c>
      <c r="H88" s="616"/>
      <c r="I88" s="616" t="e">
        <f>SUM(I74:I87)</f>
        <v>#REF!</v>
      </c>
      <c r="M88" s="707"/>
      <c r="N88" s="707"/>
      <c r="O88" s="707"/>
      <c r="P88" s="616"/>
      <c r="Q88" s="616"/>
      <c r="R88" s="616"/>
      <c r="S88" s="616"/>
      <c r="T88" s="616"/>
      <c r="U88" s="616"/>
      <c r="V88" s="616"/>
      <c r="W88" s="616"/>
    </row>
    <row r="89" spans="1:23">
      <c r="A89" s="34"/>
      <c r="B89" s="34"/>
      <c r="C89" s="34"/>
      <c r="D89" s="34"/>
      <c r="G89" s="616"/>
      <c r="H89" s="616"/>
      <c r="I89" s="616">
        <f t="shared" si="1"/>
        <v>0</v>
      </c>
      <c r="M89" s="707"/>
      <c r="N89" s="707"/>
      <c r="O89" s="707"/>
      <c r="P89" s="616"/>
      <c r="Q89" s="616"/>
      <c r="R89" s="616"/>
      <c r="S89" s="616"/>
      <c r="T89" s="616"/>
      <c r="U89" s="616"/>
      <c r="V89" s="616"/>
      <c r="W89" s="616"/>
    </row>
    <row r="90" spans="1:23">
      <c r="A90" s="34"/>
      <c r="B90" s="34" t="s">
        <v>12</v>
      </c>
      <c r="C90" s="34"/>
      <c r="D90" s="34"/>
      <c r="G90" s="616">
        <v>152089</v>
      </c>
      <c r="H90" s="616"/>
      <c r="I90" s="616">
        <f t="shared" si="1"/>
        <v>152089</v>
      </c>
      <c r="M90" s="707"/>
      <c r="N90" s="707"/>
      <c r="O90" s="707"/>
      <c r="P90" s="616"/>
      <c r="Q90" s="616"/>
      <c r="R90" s="616"/>
      <c r="S90" s="616"/>
      <c r="T90" s="616"/>
      <c r="U90" s="616"/>
      <c r="V90" s="616"/>
      <c r="W90" s="616"/>
    </row>
    <row r="91" spans="1:23">
      <c r="A91" s="34"/>
      <c r="B91" s="34" t="s">
        <v>175</v>
      </c>
      <c r="C91" s="34"/>
      <c r="D91" s="34"/>
      <c r="G91" s="616">
        <v>0</v>
      </c>
      <c r="H91" s="616"/>
      <c r="I91" s="616">
        <f t="shared" si="1"/>
        <v>0</v>
      </c>
      <c r="M91" s="707"/>
      <c r="N91" s="707"/>
      <c r="O91" s="707"/>
      <c r="P91" s="616"/>
      <c r="Q91" s="616"/>
      <c r="R91" s="616"/>
      <c r="S91" s="616"/>
      <c r="T91" s="616"/>
      <c r="U91" s="616"/>
      <c r="V91" s="616"/>
      <c r="W91" s="616"/>
    </row>
    <row r="92" spans="1:23">
      <c r="A92" s="34"/>
      <c r="B92" s="34" t="s">
        <v>155</v>
      </c>
      <c r="C92" s="34"/>
      <c r="D92" s="34"/>
      <c r="G92" s="616">
        <v>0</v>
      </c>
      <c r="H92" s="616"/>
      <c r="I92" s="616">
        <f t="shared" si="1"/>
        <v>0</v>
      </c>
      <c r="M92" s="707"/>
      <c r="N92" s="707"/>
      <c r="O92" s="707"/>
      <c r="P92" s="616"/>
      <c r="Q92" s="616"/>
      <c r="R92" s="616"/>
      <c r="S92" s="616"/>
      <c r="T92" s="616"/>
      <c r="U92" s="616"/>
      <c r="V92" s="616"/>
      <c r="W92" s="616"/>
    </row>
    <row r="93" spans="1:23">
      <c r="A93" s="34"/>
      <c r="B93" s="34" t="s">
        <v>180</v>
      </c>
      <c r="C93" s="34"/>
      <c r="D93" s="34"/>
      <c r="G93" s="616">
        <v>0</v>
      </c>
      <c r="H93" s="616"/>
      <c r="I93" s="616">
        <f t="shared" si="1"/>
        <v>0</v>
      </c>
      <c r="M93" s="707"/>
      <c r="N93" s="707"/>
      <c r="O93" s="707"/>
      <c r="P93" s="616"/>
      <c r="Q93" s="616"/>
      <c r="R93" s="616"/>
      <c r="S93" s="616"/>
      <c r="T93" s="616"/>
      <c r="U93" s="616"/>
      <c r="V93" s="616"/>
      <c r="W93" s="616"/>
    </row>
    <row r="94" spans="1:23">
      <c r="A94" s="34"/>
      <c r="B94" s="34" t="s">
        <v>181</v>
      </c>
      <c r="C94" s="34"/>
      <c r="D94" s="34"/>
      <c r="G94" s="616">
        <v>0</v>
      </c>
      <c r="H94" s="616"/>
      <c r="I94" s="616">
        <f t="shared" ref="I94:I109" si="2">G94+H94</f>
        <v>0</v>
      </c>
      <c r="M94" s="707"/>
      <c r="N94" s="707"/>
      <c r="O94" s="707"/>
      <c r="P94" s="616"/>
      <c r="Q94" s="616"/>
      <c r="R94" s="616"/>
      <c r="S94" s="616"/>
      <c r="T94" s="616"/>
      <c r="U94" s="616"/>
      <c r="V94" s="616"/>
      <c r="W94" s="616"/>
    </row>
    <row r="95" spans="1:23">
      <c r="A95" s="34"/>
      <c r="B95" s="34" t="s">
        <v>182</v>
      </c>
      <c r="C95" s="34"/>
      <c r="D95" s="34"/>
      <c r="G95" s="702">
        <v>754649</v>
      </c>
      <c r="H95" s="616"/>
      <c r="I95" s="702">
        <f t="shared" si="2"/>
        <v>754649</v>
      </c>
      <c r="M95" s="707"/>
      <c r="N95" s="707"/>
      <c r="O95" s="707"/>
      <c r="P95" s="616"/>
      <c r="Q95" s="616"/>
      <c r="R95" s="616"/>
      <c r="S95" s="616"/>
      <c r="T95" s="616"/>
      <c r="U95" s="616"/>
      <c r="V95" s="616"/>
      <c r="W95" s="616"/>
    </row>
    <row r="96" spans="1:23">
      <c r="A96" s="34"/>
      <c r="B96" s="34"/>
      <c r="C96" s="34"/>
      <c r="D96" s="34"/>
      <c r="G96" s="616">
        <f>SUM(G90:G95)</f>
        <v>906738</v>
      </c>
      <c r="H96" s="616"/>
      <c r="I96" s="616">
        <f>SUM(I90:I95)</f>
        <v>906738</v>
      </c>
      <c r="M96" s="707"/>
      <c r="N96" s="707"/>
      <c r="O96" s="707"/>
      <c r="P96" s="616"/>
      <c r="Q96" s="616"/>
      <c r="R96" s="616"/>
      <c r="S96" s="616"/>
      <c r="T96" s="616"/>
      <c r="U96" s="616"/>
      <c r="V96" s="616"/>
      <c r="W96" s="616"/>
    </row>
    <row r="97" spans="1:23">
      <c r="A97" s="34"/>
      <c r="B97" s="34"/>
      <c r="C97" s="34"/>
      <c r="D97" s="34"/>
      <c r="G97" s="616"/>
      <c r="H97" s="616"/>
      <c r="I97" s="616">
        <f t="shared" si="2"/>
        <v>0</v>
      </c>
      <c r="M97" s="707"/>
      <c r="N97" s="707"/>
      <c r="O97" s="707"/>
      <c r="P97" s="616"/>
      <c r="Q97" s="616"/>
      <c r="R97" s="616"/>
      <c r="S97" s="616"/>
      <c r="T97" s="616"/>
      <c r="U97" s="616"/>
      <c r="V97" s="616"/>
      <c r="W97" s="616"/>
    </row>
    <row r="98" spans="1:23">
      <c r="A98" s="34"/>
      <c r="B98" s="34" t="s">
        <v>183</v>
      </c>
      <c r="C98" s="34"/>
      <c r="D98" s="34"/>
      <c r="G98" s="616">
        <v>1600000</v>
      </c>
      <c r="H98" s="616"/>
      <c r="I98" s="616">
        <f t="shared" si="2"/>
        <v>1600000</v>
      </c>
      <c r="M98" s="707"/>
      <c r="N98" s="707"/>
      <c r="O98" s="707"/>
      <c r="P98" s="616"/>
      <c r="Q98" s="616"/>
      <c r="R98" s="616"/>
      <c r="S98" s="616"/>
      <c r="T98" s="616"/>
      <c r="U98" s="616"/>
      <c r="V98" s="616"/>
      <c r="W98" s="616"/>
    </row>
    <row r="99" spans="1:23">
      <c r="A99" s="34"/>
      <c r="B99" s="34" t="s">
        <v>15</v>
      </c>
      <c r="C99" s="34"/>
      <c r="D99" s="34"/>
      <c r="G99" s="707">
        <v>2477802</v>
      </c>
      <c r="H99" s="616">
        <v>-824177</v>
      </c>
      <c r="I99" s="616">
        <f t="shared" si="2"/>
        <v>1653625</v>
      </c>
      <c r="M99" s="707"/>
      <c r="N99" s="707"/>
      <c r="O99" s="707"/>
      <c r="P99" s="616"/>
      <c r="Q99" s="616"/>
      <c r="R99" s="616"/>
      <c r="S99" s="616"/>
      <c r="T99" s="616"/>
      <c r="U99" s="616"/>
      <c r="V99" s="616"/>
      <c r="W99" s="616"/>
    </row>
    <row r="100" spans="1:23">
      <c r="A100" s="34"/>
      <c r="B100" s="34" t="s">
        <v>184</v>
      </c>
      <c r="C100" s="34"/>
      <c r="D100" s="34"/>
      <c r="G100" s="616">
        <v>0</v>
      </c>
      <c r="H100" s="616"/>
      <c r="I100" s="616">
        <f t="shared" si="2"/>
        <v>0</v>
      </c>
      <c r="M100" s="707"/>
      <c r="N100" s="707"/>
      <c r="O100" s="707"/>
      <c r="P100" s="616"/>
      <c r="Q100" s="616"/>
      <c r="R100" s="616"/>
      <c r="S100" s="616"/>
      <c r="T100" s="616"/>
      <c r="U100" s="616"/>
      <c r="V100" s="616"/>
      <c r="W100" s="616"/>
    </row>
    <row r="101" spans="1:23">
      <c r="A101" s="34"/>
      <c r="B101" s="34" t="s">
        <v>185</v>
      </c>
      <c r="C101" s="34"/>
      <c r="D101" s="34"/>
      <c r="G101" s="616">
        <v>6</v>
      </c>
      <c r="H101" s="616"/>
      <c r="I101" s="616">
        <f t="shared" si="2"/>
        <v>6</v>
      </c>
      <c r="M101" s="707"/>
      <c r="N101" s="707"/>
      <c r="O101" s="707"/>
      <c r="P101" s="616"/>
      <c r="Q101" s="616"/>
      <c r="R101" s="616"/>
      <c r="S101" s="616"/>
      <c r="T101" s="616"/>
      <c r="U101" s="616"/>
      <c r="V101" s="616"/>
      <c r="W101" s="616"/>
    </row>
    <row r="102" spans="1:23">
      <c r="A102" s="34"/>
      <c r="B102" s="34" t="s">
        <v>186</v>
      </c>
      <c r="C102" s="34"/>
      <c r="D102" s="34"/>
      <c r="G102" s="616"/>
      <c r="H102" s="616">
        <v>14891</v>
      </c>
      <c r="I102" s="616">
        <f t="shared" si="2"/>
        <v>14891</v>
      </c>
      <c r="M102" s="707"/>
      <c r="N102" s="707"/>
      <c r="O102" s="707"/>
      <c r="P102" s="616"/>
      <c r="Q102" s="616"/>
      <c r="R102" s="616"/>
      <c r="S102" s="616"/>
      <c r="T102" s="616"/>
      <c r="U102" s="616"/>
      <c r="V102" s="616"/>
      <c r="W102" s="616"/>
    </row>
    <row r="103" spans="1:23">
      <c r="A103" s="34"/>
      <c r="B103" s="34" t="s">
        <v>187</v>
      </c>
      <c r="C103" s="34"/>
      <c r="D103" s="34"/>
      <c r="G103" s="616"/>
      <c r="H103" s="616">
        <v>1065</v>
      </c>
      <c r="I103" s="616">
        <f t="shared" si="2"/>
        <v>1065</v>
      </c>
      <c r="M103" s="707"/>
      <c r="N103" s="707"/>
      <c r="O103" s="707"/>
      <c r="P103" s="616"/>
      <c r="Q103" s="616"/>
      <c r="R103" s="616"/>
      <c r="S103" s="616"/>
      <c r="T103" s="616"/>
      <c r="U103" s="616"/>
      <c r="V103" s="616"/>
      <c r="W103" s="616"/>
    </row>
    <row r="104" spans="1:23">
      <c r="A104" s="34"/>
      <c r="B104" s="34" t="s">
        <v>188</v>
      </c>
      <c r="C104" s="34"/>
      <c r="D104" s="34"/>
      <c r="G104" s="724">
        <v>159543</v>
      </c>
      <c r="H104" s="616">
        <v>8934</v>
      </c>
      <c r="I104" s="702">
        <f t="shared" si="2"/>
        <v>168477</v>
      </c>
      <c r="M104" s="707"/>
      <c r="N104" s="707"/>
      <c r="O104" s="707"/>
      <c r="P104" s="616"/>
      <c r="Q104" s="616"/>
      <c r="R104" s="616"/>
      <c r="S104" s="616"/>
      <c r="T104" s="616"/>
      <c r="U104" s="616"/>
      <c r="V104" s="616"/>
      <c r="W104" s="616"/>
    </row>
    <row r="105" spans="1:23">
      <c r="A105" s="34"/>
      <c r="B105" s="34" t="s">
        <v>189</v>
      </c>
      <c r="C105" s="34"/>
      <c r="D105" s="34"/>
      <c r="G105" s="616">
        <f>SUM(G98:G104)</f>
        <v>4237351</v>
      </c>
      <c r="H105" s="616"/>
      <c r="I105" s="616">
        <f>SUM(I98:I104)</f>
        <v>3438064</v>
      </c>
      <c r="M105" s="707"/>
      <c r="N105" s="707"/>
      <c r="O105" s="707"/>
      <c r="P105" s="616"/>
      <c r="Q105" s="616"/>
      <c r="R105" s="616"/>
      <c r="S105" s="616"/>
      <c r="T105" s="616"/>
      <c r="U105" s="616"/>
      <c r="V105" s="616"/>
      <c r="W105" s="616"/>
    </row>
    <row r="106" spans="1:23">
      <c r="A106" s="34"/>
      <c r="B106" s="34" t="s">
        <v>190</v>
      </c>
      <c r="C106" s="34"/>
      <c r="D106" s="34"/>
      <c r="G106" s="616">
        <v>0</v>
      </c>
      <c r="H106" s="616"/>
      <c r="I106" s="616">
        <f t="shared" si="2"/>
        <v>0</v>
      </c>
      <c r="M106" s="707"/>
      <c r="N106" s="707"/>
      <c r="O106" s="707"/>
      <c r="P106" s="616"/>
      <c r="Q106" s="616"/>
      <c r="R106" s="616"/>
      <c r="S106" s="616"/>
      <c r="T106" s="616"/>
      <c r="U106" s="616"/>
      <c r="V106" s="616"/>
      <c r="W106" s="616"/>
    </row>
    <row r="107" spans="1:23">
      <c r="A107" s="34"/>
      <c r="B107" s="34" t="s">
        <v>191</v>
      </c>
      <c r="C107" s="34"/>
      <c r="D107" s="34"/>
      <c r="G107" s="702">
        <v>0</v>
      </c>
      <c r="H107" s="702"/>
      <c r="I107" s="702">
        <f t="shared" si="2"/>
        <v>0</v>
      </c>
      <c r="M107" s="707"/>
      <c r="N107" s="707"/>
      <c r="O107" s="707"/>
      <c r="P107" s="616"/>
      <c r="Q107" s="616"/>
      <c r="R107" s="616"/>
      <c r="S107" s="616"/>
      <c r="T107" s="616"/>
      <c r="U107" s="616"/>
      <c r="V107" s="616"/>
      <c r="W107" s="616"/>
    </row>
    <row r="108" spans="1:23">
      <c r="A108" s="34"/>
      <c r="B108" s="34" t="s">
        <v>192</v>
      </c>
      <c r="C108" s="34"/>
      <c r="D108" s="34"/>
      <c r="G108" s="1010">
        <f t="shared" ref="G108" si="3">SUM(G105:G107)</f>
        <v>4237351</v>
      </c>
      <c r="H108" s="1010">
        <f>SUM(H74:H107)</f>
        <v>-799287</v>
      </c>
      <c r="I108" s="1010">
        <f t="shared" si="2"/>
        <v>3438064</v>
      </c>
      <c r="M108" s="707"/>
      <c r="N108" s="707"/>
      <c r="O108" s="707"/>
      <c r="P108" s="616"/>
      <c r="Q108" s="616"/>
      <c r="R108" s="616"/>
      <c r="S108" s="616"/>
      <c r="T108" s="616"/>
      <c r="U108" s="616"/>
      <c r="V108" s="616"/>
      <c r="W108" s="616"/>
    </row>
    <row r="109" spans="1:23">
      <c r="A109" s="34"/>
      <c r="B109" s="34"/>
      <c r="C109" s="34"/>
      <c r="D109" s="34"/>
      <c r="G109" s="616"/>
      <c r="H109" s="616"/>
      <c r="I109" s="616">
        <f t="shared" si="2"/>
        <v>0</v>
      </c>
      <c r="M109" s="707"/>
      <c r="N109" s="707"/>
      <c r="O109" s="707"/>
      <c r="P109" s="616"/>
      <c r="Q109" s="616"/>
      <c r="R109" s="616"/>
      <c r="S109" s="616"/>
      <c r="T109" s="616"/>
      <c r="U109" s="616"/>
      <c r="V109" s="616"/>
      <c r="W109" s="616"/>
    </row>
    <row r="110" spans="1:23">
      <c r="A110" s="34"/>
      <c r="B110" s="613" t="s">
        <v>209</v>
      </c>
      <c r="C110" s="34"/>
      <c r="D110" s="34"/>
      <c r="G110" s="616" t="e">
        <f>G69-G108</f>
        <v>#REF!</v>
      </c>
      <c r="H110" s="616">
        <f t="shared" ref="H110:I110" si="4">H69-H108</f>
        <v>845418</v>
      </c>
      <c r="I110" s="616" t="e">
        <f t="shared" si="4"/>
        <v>#REF!</v>
      </c>
      <c r="M110" s="707"/>
      <c r="N110" s="707"/>
      <c r="O110" s="707"/>
      <c r="P110" s="616"/>
      <c r="Q110" s="616"/>
      <c r="R110" s="616"/>
      <c r="S110" s="616"/>
      <c r="T110" s="616"/>
      <c r="U110" s="616"/>
      <c r="V110" s="616"/>
      <c r="W110" s="616"/>
    </row>
    <row r="111" spans="1:23">
      <c r="A111" s="43"/>
      <c r="B111" s="13"/>
      <c r="C111" s="4"/>
      <c r="D111" s="4"/>
      <c r="E111" s="4"/>
      <c r="F111" s="4"/>
      <c r="G111" s="4"/>
      <c r="H111" s="4"/>
      <c r="I111" s="702"/>
      <c r="J111" s="4"/>
      <c r="M111" s="707"/>
      <c r="N111" s="707"/>
      <c r="O111" s="707"/>
      <c r="P111" s="616"/>
      <c r="Q111" s="616"/>
      <c r="R111" s="616"/>
      <c r="S111" s="616"/>
      <c r="T111" s="616"/>
      <c r="U111" s="616"/>
      <c r="V111" s="616"/>
      <c r="W111" s="616"/>
    </row>
    <row r="112" spans="1:23">
      <c r="I112" s="14"/>
      <c r="M112" s="707"/>
      <c r="N112" s="707"/>
      <c r="O112" s="707"/>
      <c r="P112" s="616"/>
      <c r="Q112" s="616"/>
      <c r="R112" s="616"/>
      <c r="S112" s="616"/>
      <c r="T112" s="616"/>
      <c r="U112" s="616"/>
      <c r="V112" s="616"/>
      <c r="W112" s="616"/>
    </row>
    <row r="113" spans="1:23">
      <c r="A113" s="781" t="s">
        <v>470</v>
      </c>
      <c r="B113" s="13"/>
      <c r="C113" s="13"/>
      <c r="D113" s="13"/>
    </row>
    <row r="114" spans="1:23">
      <c r="S114" s="691"/>
      <c r="T114" s="777">
        <v>2007</v>
      </c>
      <c r="U114" s="777"/>
      <c r="V114" s="777"/>
    </row>
    <row r="115" spans="1:23">
      <c r="S115" s="4"/>
      <c r="T115" s="4"/>
      <c r="U115" s="4"/>
      <c r="V115" s="4"/>
    </row>
    <row r="116" spans="1:23">
      <c r="T116" s="3" t="s">
        <v>194</v>
      </c>
    </row>
    <row r="117" spans="1:23">
      <c r="S117" s="778">
        <v>39263</v>
      </c>
      <c r="T117" s="779" t="s">
        <v>195</v>
      </c>
      <c r="U117" s="780" t="s">
        <v>196</v>
      </c>
      <c r="V117" s="780" t="s">
        <v>197</v>
      </c>
    </row>
    <row r="118" spans="1:23">
      <c r="A118" t="s">
        <v>471</v>
      </c>
      <c r="T118" s="616">
        <v>1773991</v>
      </c>
      <c r="U118" s="616">
        <v>16731</v>
      </c>
      <c r="V118" s="616">
        <f>T118+U118</f>
        <v>1790722</v>
      </c>
      <c r="W118" s="616"/>
    </row>
    <row r="119" spans="1:23">
      <c r="A119" t="s">
        <v>59</v>
      </c>
      <c r="T119" s="702">
        <v>-1297488</v>
      </c>
      <c r="U119" s="702">
        <v>-16813</v>
      </c>
      <c r="V119" s="702">
        <f>T119+U119</f>
        <v>-1314301</v>
      </c>
      <c r="W119" s="616"/>
    </row>
    <row r="120" spans="1:23">
      <c r="A120" t="s">
        <v>472</v>
      </c>
      <c r="T120" s="616">
        <f>SUM(T118:T119)</f>
        <v>476503</v>
      </c>
      <c r="U120" s="616">
        <f t="shared" ref="U120:V120" si="5">SUM(U118:U119)</f>
        <v>-82</v>
      </c>
      <c r="V120" s="616">
        <f t="shared" si="5"/>
        <v>476421</v>
      </c>
      <c r="W120" s="616"/>
    </row>
    <row r="121" spans="1:23">
      <c r="T121" s="616"/>
      <c r="U121" s="616"/>
      <c r="V121" s="616"/>
      <c r="W121" s="616"/>
    </row>
    <row r="122" spans="1:23">
      <c r="A122" t="s">
        <v>473</v>
      </c>
      <c r="T122" s="616">
        <v>0</v>
      </c>
      <c r="U122" s="616">
        <v>658</v>
      </c>
      <c r="V122" s="616">
        <f t="shared" ref="V122:V125" si="6">T122+U122</f>
        <v>658</v>
      </c>
      <c r="W122" s="616"/>
    </row>
    <row r="123" spans="1:23">
      <c r="A123" t="s">
        <v>114</v>
      </c>
      <c r="T123" s="616">
        <v>-117610</v>
      </c>
      <c r="U123" s="616">
        <v>247</v>
      </c>
      <c r="V123" s="616">
        <f t="shared" si="6"/>
        <v>-117363</v>
      </c>
      <c r="W123" s="616"/>
    </row>
    <row r="124" spans="1:23">
      <c r="A124" t="s">
        <v>474</v>
      </c>
      <c r="T124" s="616">
        <v>1086</v>
      </c>
      <c r="U124" s="616">
        <v>0</v>
      </c>
      <c r="V124" s="616">
        <f t="shared" si="6"/>
        <v>1086</v>
      </c>
      <c r="W124" s="616"/>
    </row>
    <row r="125" spans="1:23">
      <c r="A125" t="s">
        <v>475</v>
      </c>
      <c r="T125" s="702">
        <v>-46</v>
      </c>
      <c r="U125" s="702">
        <v>0</v>
      </c>
      <c r="V125" s="702">
        <f t="shared" si="6"/>
        <v>-46</v>
      </c>
      <c r="W125" s="616"/>
    </row>
    <row r="126" spans="1:23">
      <c r="T126" s="616"/>
      <c r="U126" s="616"/>
      <c r="V126" s="616"/>
      <c r="W126" s="616"/>
    </row>
    <row r="127" spans="1:23">
      <c r="A127" s="1" t="s">
        <v>84</v>
      </c>
      <c r="T127" s="616">
        <f>T120+T122+T123+T124+T125</f>
        <v>359933</v>
      </c>
      <c r="U127" s="616">
        <f t="shared" ref="U127:V127" si="7">U120+U122+U123+U124+U125</f>
        <v>823</v>
      </c>
      <c r="V127" s="616">
        <f t="shared" si="7"/>
        <v>360756</v>
      </c>
      <c r="W127" s="616"/>
    </row>
    <row r="128" spans="1:23">
      <c r="T128" s="616"/>
      <c r="U128" s="616"/>
      <c r="V128" s="616"/>
      <c r="W128" s="616"/>
    </row>
    <row r="129" spans="1:23">
      <c r="A129" t="s">
        <v>476</v>
      </c>
      <c r="T129" s="616"/>
      <c r="U129" s="616"/>
      <c r="V129" s="616"/>
      <c r="W129" s="616"/>
    </row>
    <row r="130" spans="1:23">
      <c r="A130" t="s">
        <v>122</v>
      </c>
      <c r="T130" s="616">
        <v>-56323</v>
      </c>
      <c r="U130" s="616">
        <v>0</v>
      </c>
      <c r="V130" s="616">
        <f t="shared" ref="V130:V134" si="8">T130+U130</f>
        <v>-56323</v>
      </c>
      <c r="W130" s="616"/>
    </row>
    <row r="131" spans="1:23">
      <c r="A131" t="s">
        <v>86</v>
      </c>
      <c r="T131" s="616">
        <v>0</v>
      </c>
      <c r="U131" s="616">
        <v>10364</v>
      </c>
      <c r="V131" s="616">
        <f t="shared" si="8"/>
        <v>10364</v>
      </c>
      <c r="W131" s="616"/>
    </row>
    <row r="132" spans="1:23">
      <c r="A132" t="s">
        <v>477</v>
      </c>
      <c r="T132" s="616">
        <v>0</v>
      </c>
      <c r="U132" s="616">
        <v>23888</v>
      </c>
      <c r="V132" s="616">
        <f t="shared" si="8"/>
        <v>23888</v>
      </c>
      <c r="W132" s="616"/>
    </row>
    <row r="133" spans="1:23">
      <c r="T133" s="702"/>
      <c r="U133" s="702"/>
      <c r="V133" s="702">
        <f t="shared" si="8"/>
        <v>0</v>
      </c>
      <c r="W133" s="616"/>
    </row>
    <row r="134" spans="1:23">
      <c r="A134" s="1" t="s">
        <v>88</v>
      </c>
      <c r="T134" s="616">
        <f>T127+T130+T131+T132</f>
        <v>303610</v>
      </c>
      <c r="U134" s="616">
        <f t="shared" ref="U134" si="9">U127+U130+U131+U132</f>
        <v>35075</v>
      </c>
      <c r="V134" s="616">
        <f t="shared" si="8"/>
        <v>338685</v>
      </c>
      <c r="W134" s="616"/>
    </row>
    <row r="135" spans="1:23">
      <c r="A135" t="s">
        <v>478</v>
      </c>
      <c r="T135" s="616">
        <v>-103761</v>
      </c>
      <c r="U135" s="616">
        <v>6306</v>
      </c>
      <c r="V135" s="616">
        <f>T135+U135</f>
        <v>-97455</v>
      </c>
      <c r="W135" s="616"/>
    </row>
    <row r="136" spans="1:23" ht="13.5" thickBot="1">
      <c r="A136" s="1" t="s">
        <v>91</v>
      </c>
      <c r="T136" s="725">
        <f>T134+T135</f>
        <v>199849</v>
      </c>
      <c r="U136" s="725">
        <f t="shared" ref="U136:V136" si="10">U134+U135</f>
        <v>41381</v>
      </c>
      <c r="V136" s="725">
        <f t="shared" si="10"/>
        <v>241230</v>
      </c>
      <c r="W136" s="616"/>
    </row>
    <row r="137" spans="1:23" ht="14.25" thickTop="1" thickBot="1">
      <c r="A137" s="984"/>
      <c r="B137" s="984"/>
      <c r="C137" s="984"/>
      <c r="D137" s="984"/>
      <c r="E137" s="984"/>
      <c r="F137" s="984"/>
      <c r="G137" s="984"/>
      <c r="H137" s="984"/>
      <c r="I137" s="984"/>
      <c r="J137" s="984"/>
      <c r="K137" s="984"/>
      <c r="L137" s="984"/>
      <c r="M137" s="984"/>
      <c r="N137" s="984"/>
      <c r="O137" s="984"/>
      <c r="P137" s="984"/>
      <c r="Q137" s="984"/>
      <c r="R137" s="984"/>
      <c r="S137" s="984"/>
      <c r="T137" s="1008"/>
      <c r="U137" s="1008"/>
      <c r="V137" s="1008"/>
      <c r="W137" s="616"/>
    </row>
    <row r="138" spans="1:23" ht="15.75">
      <c r="A138" s="621" t="s">
        <v>193</v>
      </c>
      <c r="B138" s="710"/>
      <c r="C138" s="710"/>
      <c r="D138" s="710"/>
      <c r="E138" s="185"/>
      <c r="F138" s="707"/>
      <c r="G138" s="707"/>
      <c r="H138" s="707"/>
      <c r="I138" s="707"/>
      <c r="J138" s="707"/>
      <c r="K138" s="37" t="s">
        <v>195</v>
      </c>
      <c r="L138" s="1023" t="s">
        <v>479</v>
      </c>
      <c r="M138" s="1024" t="s">
        <v>469</v>
      </c>
    </row>
    <row r="139" spans="1:23">
      <c r="A139" s="520" t="s">
        <v>331</v>
      </c>
      <c r="B139" s="747"/>
      <c r="C139" s="748"/>
      <c r="D139" s="749"/>
      <c r="E139" s="185"/>
      <c r="F139" s="707"/>
      <c r="G139" s="707"/>
      <c r="H139" s="707"/>
      <c r="I139" s="707"/>
      <c r="J139" s="707"/>
      <c r="K139" s="772">
        <v>2006</v>
      </c>
      <c r="L139" s="772"/>
      <c r="M139" s="772">
        <v>2006</v>
      </c>
    </row>
    <row r="140" spans="1:23">
      <c r="A140" s="34" t="s">
        <v>42</v>
      </c>
      <c r="D140" s="46" t="s">
        <v>43</v>
      </c>
      <c r="E140" s="185"/>
      <c r="F140" s="707"/>
      <c r="G140" s="707"/>
      <c r="H140" s="707"/>
      <c r="I140" s="707"/>
      <c r="J140" s="707"/>
      <c r="K140" s="613" t="s">
        <v>480</v>
      </c>
      <c r="M140" s="613" t="s">
        <v>481</v>
      </c>
    </row>
    <row r="141" spans="1:23">
      <c r="A141" s="1622" t="s">
        <v>18</v>
      </c>
      <c r="B141" s="1622"/>
      <c r="C141" s="1622"/>
      <c r="D141" s="1622"/>
      <c r="E141" s="185"/>
      <c r="F141" s="707"/>
      <c r="G141" s="707"/>
      <c r="H141" s="707"/>
      <c r="I141" s="707"/>
      <c r="J141" s="707"/>
      <c r="K141" s="740">
        <v>2006</v>
      </c>
      <c r="L141" s="714"/>
      <c r="M141" s="740">
        <v>2006</v>
      </c>
    </row>
    <row r="142" spans="1:23">
      <c r="A142" s="34"/>
      <c r="B142" s="34" t="s">
        <v>133</v>
      </c>
      <c r="C142" s="34"/>
      <c r="D142" s="34"/>
      <c r="E142" s="185"/>
      <c r="F142" s="707"/>
      <c r="G142" s="707"/>
      <c r="H142" s="707"/>
      <c r="I142" s="707"/>
      <c r="J142" s="707"/>
      <c r="K142" s="616">
        <v>251824</v>
      </c>
      <c r="L142" s="616"/>
      <c r="M142" s="616">
        <f>K142+L142</f>
        <v>251824</v>
      </c>
    </row>
    <row r="143" spans="1:23">
      <c r="A143" s="34"/>
      <c r="B143" s="34" t="s">
        <v>134</v>
      </c>
      <c r="C143" s="34"/>
      <c r="D143" s="34"/>
      <c r="E143" s="185"/>
      <c r="F143" s="707"/>
      <c r="G143" s="707"/>
      <c r="H143" s="707"/>
      <c r="J143" s="707"/>
      <c r="K143" s="616"/>
      <c r="L143" s="616"/>
      <c r="M143" s="616">
        <f>K143+L143</f>
        <v>0</v>
      </c>
    </row>
    <row r="144" spans="1:23" ht="13.5">
      <c r="A144" s="34"/>
      <c r="B144" s="34" t="s">
        <v>135</v>
      </c>
      <c r="C144" s="754"/>
      <c r="D144" s="754"/>
      <c r="E144" s="185"/>
      <c r="F144" s="707"/>
      <c r="G144" s="707"/>
      <c r="H144" s="707"/>
      <c r="I144" s="707"/>
      <c r="J144" s="707"/>
      <c r="K144" s="616">
        <v>230433</v>
      </c>
      <c r="L144" s="616">
        <v>-7994</v>
      </c>
      <c r="M144" s="616">
        <f>K144+L144</f>
        <v>222439</v>
      </c>
    </row>
    <row r="145" spans="1:13" ht="13.5">
      <c r="A145" s="34"/>
      <c r="B145" s="34" t="s">
        <v>137</v>
      </c>
      <c r="C145" s="754"/>
      <c r="D145" s="754"/>
      <c r="E145" s="185"/>
      <c r="F145" s="707"/>
      <c r="G145" s="707"/>
      <c r="H145" s="707"/>
      <c r="I145" s="707"/>
      <c r="J145" s="707"/>
      <c r="K145" s="702">
        <v>-3730</v>
      </c>
      <c r="L145" s="616"/>
      <c r="M145" s="702">
        <f>K145+L145</f>
        <v>-3730</v>
      </c>
    </row>
    <row r="146" spans="1:13" ht="13.5">
      <c r="A146" s="34"/>
      <c r="B146" s="34" t="s">
        <v>138</v>
      </c>
      <c r="C146" s="754"/>
      <c r="D146" s="754"/>
      <c r="E146" s="185"/>
      <c r="F146" s="707"/>
      <c r="G146" s="707"/>
      <c r="H146" s="707"/>
      <c r="I146" s="707"/>
      <c r="J146" s="707"/>
      <c r="K146" s="616">
        <f>SUM(K144:K145)</f>
        <v>226703</v>
      </c>
      <c r="L146" s="616"/>
      <c r="M146" s="616">
        <f>SUM(M144:M145)</f>
        <v>218709</v>
      </c>
    </row>
    <row r="147" spans="1:13" ht="13.5">
      <c r="A147" s="34"/>
      <c r="B147" s="34" t="s">
        <v>139</v>
      </c>
      <c r="C147" s="754"/>
      <c r="D147" s="754"/>
      <c r="E147" s="185"/>
      <c r="F147" s="707"/>
      <c r="G147" s="707"/>
      <c r="H147" s="707"/>
      <c r="I147" s="707"/>
      <c r="J147" s="707"/>
      <c r="K147" s="616">
        <v>7425</v>
      </c>
      <c r="L147" s="616"/>
      <c r="M147" s="616">
        <f>K147+L147</f>
        <v>7425</v>
      </c>
    </row>
    <row r="148" spans="1:13" ht="13.5">
      <c r="A148" s="34"/>
      <c r="B148" s="34" t="s">
        <v>140</v>
      </c>
      <c r="C148" s="754"/>
      <c r="D148" s="754"/>
      <c r="E148" s="185"/>
      <c r="F148" s="707"/>
      <c r="G148" s="707"/>
      <c r="H148" s="707"/>
      <c r="I148" s="707"/>
      <c r="J148" s="707"/>
      <c r="K148" s="616">
        <v>0</v>
      </c>
      <c r="L148" s="616"/>
      <c r="M148" s="616">
        <f>K148+L148</f>
        <v>0</v>
      </c>
    </row>
    <row r="149" spans="1:13">
      <c r="A149" s="34"/>
      <c r="B149" s="34" t="s">
        <v>141</v>
      </c>
      <c r="C149" s="34"/>
      <c r="D149" s="34"/>
      <c r="E149" s="185"/>
      <c r="F149" s="707"/>
      <c r="G149" s="707"/>
      <c r="H149" s="707"/>
      <c r="I149" s="707"/>
      <c r="J149" s="707"/>
      <c r="K149" s="616">
        <v>3106</v>
      </c>
      <c r="L149" s="616"/>
      <c r="M149" s="616">
        <f>K149+L149</f>
        <v>3106</v>
      </c>
    </row>
    <row r="150" spans="1:13">
      <c r="A150" s="34"/>
      <c r="B150" s="34" t="s">
        <v>142</v>
      </c>
      <c r="C150" s="34"/>
      <c r="D150" s="34"/>
      <c r="E150" s="185"/>
      <c r="F150" s="707"/>
      <c r="G150" s="707"/>
      <c r="H150" s="707"/>
      <c r="I150" s="707"/>
      <c r="J150" s="707"/>
      <c r="K150" s="702">
        <v>0</v>
      </c>
      <c r="L150" s="616"/>
      <c r="M150" s="702">
        <f>K150+L150</f>
        <v>0</v>
      </c>
    </row>
    <row r="151" spans="1:13">
      <c r="A151" s="34"/>
      <c r="B151" s="34"/>
      <c r="C151" s="34"/>
      <c r="D151" s="34"/>
      <c r="E151" s="185"/>
      <c r="F151" s="707"/>
      <c r="G151" s="707"/>
      <c r="H151" s="707"/>
      <c r="I151" s="707"/>
      <c r="J151" s="707"/>
      <c r="K151" s="616">
        <f>SUM(K147:K150)</f>
        <v>10531</v>
      </c>
      <c r="L151" s="616"/>
      <c r="M151" s="616">
        <f>SUM(M147:M150)</f>
        <v>10531</v>
      </c>
    </row>
    <row r="152" spans="1:13">
      <c r="A152" s="34"/>
      <c r="B152" s="34" t="s">
        <v>143</v>
      </c>
      <c r="C152" s="34"/>
      <c r="D152" s="34"/>
      <c r="E152" s="185"/>
      <c r="F152" s="707"/>
      <c r="G152" s="707"/>
      <c r="H152" s="707"/>
      <c r="I152" s="707"/>
      <c r="J152" s="707"/>
      <c r="K152" s="616">
        <v>0</v>
      </c>
      <c r="L152" s="616"/>
      <c r="M152" s="616">
        <f t="shared" ref="M152:M161" si="11">K152+L152</f>
        <v>0</v>
      </c>
    </row>
    <row r="153" spans="1:13">
      <c r="A153" s="34"/>
      <c r="B153" s="34" t="s">
        <v>144</v>
      </c>
      <c r="C153" s="34"/>
      <c r="D153" s="34"/>
      <c r="E153" s="185"/>
      <c r="F153" s="707"/>
      <c r="G153" s="707"/>
      <c r="H153" s="707"/>
      <c r="I153" s="707"/>
      <c r="J153" s="707"/>
      <c r="K153" s="616">
        <v>0</v>
      </c>
      <c r="L153" s="616"/>
      <c r="M153" s="616">
        <f t="shared" si="11"/>
        <v>0</v>
      </c>
    </row>
    <row r="154" spans="1:13">
      <c r="A154" s="34"/>
      <c r="B154" s="34" t="s">
        <v>145</v>
      </c>
      <c r="C154" s="34"/>
      <c r="D154" s="34"/>
      <c r="E154" s="185"/>
      <c r="F154" s="707"/>
      <c r="G154" s="707"/>
      <c r="H154" s="707"/>
      <c r="I154" s="707"/>
      <c r="J154" s="707"/>
      <c r="K154" s="616">
        <v>0</v>
      </c>
      <c r="L154" s="616"/>
      <c r="M154" s="616">
        <f t="shared" si="11"/>
        <v>0</v>
      </c>
    </row>
    <row r="155" spans="1:13">
      <c r="A155" s="34"/>
      <c r="B155" s="34" t="s">
        <v>146</v>
      </c>
      <c r="C155" s="34"/>
      <c r="D155" s="34"/>
      <c r="E155" s="185"/>
      <c r="F155" s="707"/>
      <c r="G155" s="707"/>
      <c r="H155" s="707"/>
      <c r="I155" s="707"/>
      <c r="J155" s="707"/>
      <c r="K155" s="616">
        <v>0</v>
      </c>
      <c r="L155" s="616"/>
      <c r="M155" s="616">
        <f t="shared" si="11"/>
        <v>0</v>
      </c>
    </row>
    <row r="156" spans="1:13">
      <c r="A156" s="34"/>
      <c r="B156" s="34" t="s">
        <v>147</v>
      </c>
      <c r="C156" s="34"/>
      <c r="D156" s="34"/>
      <c r="E156" s="185"/>
      <c r="F156" s="707"/>
      <c r="G156" s="707"/>
      <c r="H156" s="707"/>
      <c r="I156" s="707"/>
      <c r="J156" s="707"/>
      <c r="K156" s="616">
        <v>0</v>
      </c>
      <c r="L156" s="616"/>
      <c r="M156" s="616">
        <f t="shared" si="11"/>
        <v>0</v>
      </c>
    </row>
    <row r="157" spans="1:13">
      <c r="A157" s="34"/>
      <c r="B157" s="34" t="s">
        <v>148</v>
      </c>
      <c r="C157" s="34"/>
      <c r="D157" s="34"/>
      <c r="E157" s="185"/>
      <c r="F157" s="707"/>
      <c r="G157" s="707"/>
      <c r="H157" s="707"/>
      <c r="I157" s="707"/>
      <c r="J157" s="707"/>
      <c r="K157" s="616">
        <v>23395</v>
      </c>
      <c r="L157" s="616">
        <v>-6560</v>
      </c>
      <c r="M157" s="616">
        <f t="shared" si="11"/>
        <v>16835</v>
      </c>
    </row>
    <row r="158" spans="1:13">
      <c r="A158" s="34"/>
      <c r="B158" s="34" t="s">
        <v>149</v>
      </c>
      <c r="C158" s="34"/>
      <c r="D158" s="34"/>
      <c r="E158" s="185"/>
      <c r="F158" s="707"/>
      <c r="G158" s="707"/>
      <c r="H158" s="707"/>
      <c r="I158" s="707"/>
      <c r="J158" s="707"/>
      <c r="K158" s="616">
        <v>0</v>
      </c>
      <c r="L158" s="616"/>
      <c r="M158" s="616">
        <f t="shared" si="11"/>
        <v>0</v>
      </c>
    </row>
    <row r="159" spans="1:13">
      <c r="A159" s="34"/>
      <c r="B159" s="34" t="s">
        <v>150</v>
      </c>
      <c r="C159" s="34"/>
      <c r="D159" s="34"/>
      <c r="E159" s="185"/>
      <c r="F159" s="707"/>
      <c r="G159" s="707"/>
      <c r="H159" s="707"/>
      <c r="I159" s="707"/>
      <c r="J159" s="707"/>
      <c r="K159" s="616">
        <v>8288</v>
      </c>
      <c r="L159" s="616"/>
      <c r="M159" s="616">
        <f t="shared" si="11"/>
        <v>8288</v>
      </c>
    </row>
    <row r="160" spans="1:13">
      <c r="A160" s="34"/>
      <c r="B160" s="34" t="s">
        <v>151</v>
      </c>
      <c r="C160" s="34"/>
      <c r="D160" s="34"/>
      <c r="E160" s="185"/>
      <c r="F160" s="707"/>
      <c r="G160" s="707"/>
      <c r="H160" s="707"/>
      <c r="I160" s="707"/>
      <c r="J160" s="707"/>
      <c r="K160" s="616" t="e">
        <f>'4_Fin-Stat'!#REF!</f>
        <v>#REF!</v>
      </c>
      <c r="L160" s="616">
        <v>60553</v>
      </c>
      <c r="M160" s="616" t="e">
        <f t="shared" si="11"/>
        <v>#REF!</v>
      </c>
    </row>
    <row r="161" spans="1:13">
      <c r="A161" s="34"/>
      <c r="B161" s="34" t="s">
        <v>152</v>
      </c>
      <c r="C161" s="34"/>
      <c r="D161" s="34"/>
      <c r="E161" s="185"/>
      <c r="F161" s="707"/>
      <c r="G161" s="707"/>
      <c r="H161" s="707"/>
      <c r="I161" s="707"/>
      <c r="J161" s="707"/>
      <c r="K161" s="702">
        <v>22808</v>
      </c>
      <c r="L161" s="616"/>
      <c r="M161" s="702">
        <f t="shared" si="11"/>
        <v>22808</v>
      </c>
    </row>
    <row r="162" spans="1:13">
      <c r="A162" s="34"/>
      <c r="B162" s="34"/>
      <c r="C162" s="34"/>
      <c r="D162" s="34"/>
      <c r="E162" s="185"/>
      <c r="F162" s="707"/>
      <c r="G162" s="707"/>
      <c r="H162" s="707"/>
      <c r="I162" s="707"/>
      <c r="J162" s="707"/>
      <c r="K162" s="616" t="e">
        <f>SUM(K152:K161)</f>
        <v>#REF!</v>
      </c>
      <c r="L162" s="616"/>
      <c r="M162" s="616" t="e">
        <f>SUM(M152:M161)</f>
        <v>#REF!</v>
      </c>
    </row>
    <row r="163" spans="1:13">
      <c r="A163" s="34"/>
      <c r="B163" s="34" t="s">
        <v>143</v>
      </c>
      <c r="C163" s="34"/>
      <c r="D163" s="34"/>
      <c r="E163" s="185"/>
      <c r="F163" s="707"/>
      <c r="G163" s="707"/>
      <c r="H163" s="707"/>
      <c r="I163" s="707"/>
      <c r="J163" s="707"/>
      <c r="K163" s="616">
        <v>0</v>
      </c>
      <c r="L163" s="616"/>
      <c r="M163" s="616">
        <f t="shared" ref="M163:M168" si="12">K163+L163</f>
        <v>0</v>
      </c>
    </row>
    <row r="164" spans="1:13">
      <c r="A164" s="34"/>
      <c r="B164" s="34" t="s">
        <v>153</v>
      </c>
      <c r="C164" s="34"/>
      <c r="D164" s="34"/>
      <c r="E164" s="185"/>
      <c r="F164" s="707"/>
      <c r="G164" s="707"/>
      <c r="H164" s="707"/>
      <c r="I164" s="707"/>
      <c r="J164" s="707"/>
      <c r="K164" s="616">
        <v>0</v>
      </c>
      <c r="L164" s="616"/>
      <c r="M164" s="616">
        <f t="shared" si="12"/>
        <v>0</v>
      </c>
    </row>
    <row r="165" spans="1:13">
      <c r="A165" s="34"/>
      <c r="B165" s="34" t="s">
        <v>154</v>
      </c>
      <c r="C165" s="34"/>
      <c r="D165" s="34"/>
      <c r="E165" s="185"/>
      <c r="F165" s="707"/>
      <c r="G165" s="707"/>
      <c r="H165" s="707"/>
      <c r="I165" s="707"/>
      <c r="J165" s="707"/>
      <c r="K165" s="616">
        <v>0</v>
      </c>
      <c r="L165" s="616"/>
      <c r="M165" s="616">
        <f t="shared" si="12"/>
        <v>0</v>
      </c>
    </row>
    <row r="166" spans="1:13">
      <c r="A166" s="34"/>
      <c r="B166" s="34" t="s">
        <v>155</v>
      </c>
      <c r="C166" s="34"/>
      <c r="D166" s="34"/>
      <c r="E166" s="185"/>
      <c r="F166" s="707"/>
      <c r="G166" s="707"/>
      <c r="H166" s="707"/>
      <c r="I166" s="707"/>
      <c r="J166" s="707"/>
      <c r="K166" s="616">
        <v>0</v>
      </c>
      <c r="L166" s="616"/>
      <c r="M166" s="616">
        <f t="shared" si="12"/>
        <v>0</v>
      </c>
    </row>
    <row r="167" spans="1:13">
      <c r="A167" s="34"/>
      <c r="B167" s="34" t="s">
        <v>202</v>
      </c>
      <c r="C167" s="34"/>
      <c r="D167" s="34"/>
      <c r="E167" s="185"/>
      <c r="F167" s="707"/>
      <c r="G167" s="707"/>
      <c r="H167" s="707"/>
      <c r="I167" s="707"/>
      <c r="J167" s="707"/>
      <c r="K167" s="616">
        <v>172</v>
      </c>
      <c r="L167" s="616">
        <v>3614</v>
      </c>
      <c r="M167" s="616">
        <f t="shared" si="12"/>
        <v>3786</v>
      </c>
    </row>
    <row r="168" spans="1:13">
      <c r="A168" s="34"/>
      <c r="B168" s="34" t="s">
        <v>156</v>
      </c>
      <c r="C168" s="34"/>
      <c r="D168" s="34"/>
      <c r="E168" s="185"/>
      <c r="F168" s="707"/>
      <c r="G168" s="707"/>
      <c r="H168" s="707"/>
      <c r="I168" s="707"/>
      <c r="J168" s="707"/>
      <c r="K168" s="702"/>
      <c r="L168" s="616">
        <v>132</v>
      </c>
      <c r="M168" s="702">
        <f t="shared" si="12"/>
        <v>132</v>
      </c>
    </row>
    <row r="169" spans="1:13">
      <c r="A169" s="34"/>
      <c r="B169" s="34"/>
      <c r="C169" s="34"/>
      <c r="D169" s="34"/>
      <c r="E169" s="185"/>
      <c r="F169" s="707"/>
      <c r="G169" s="707"/>
      <c r="H169" s="707"/>
      <c r="I169" s="707"/>
      <c r="J169" s="707"/>
      <c r="K169" s="616">
        <f>SUM(K163:K168)</f>
        <v>172</v>
      </c>
      <c r="L169" s="616"/>
      <c r="M169" s="616">
        <f>SUM(M163:M168)</f>
        <v>3918</v>
      </c>
    </row>
    <row r="170" spans="1:13">
      <c r="A170" s="34"/>
      <c r="B170" s="34" t="s">
        <v>130</v>
      </c>
      <c r="C170" s="34"/>
      <c r="D170" s="34"/>
      <c r="E170" s="185"/>
      <c r="F170" s="707"/>
      <c r="G170" s="707"/>
      <c r="H170" s="707"/>
      <c r="I170" s="707"/>
      <c r="J170" s="707"/>
      <c r="K170" s="616"/>
      <c r="L170" s="616"/>
      <c r="M170" s="616"/>
    </row>
    <row r="171" spans="1:13">
      <c r="A171" s="34"/>
      <c r="B171" s="34" t="s">
        <v>157</v>
      </c>
      <c r="C171" s="34"/>
      <c r="D171" s="34"/>
      <c r="E171" s="185"/>
      <c r="F171" s="707"/>
      <c r="G171" s="707"/>
      <c r="H171" s="707"/>
      <c r="I171" s="707"/>
      <c r="J171" s="707"/>
      <c r="K171" s="616"/>
      <c r="L171" s="616"/>
      <c r="M171" s="616"/>
    </row>
    <row r="172" spans="1:13">
      <c r="A172" s="34"/>
      <c r="B172" s="34" t="s">
        <v>158</v>
      </c>
      <c r="C172" s="34"/>
      <c r="D172" s="34"/>
      <c r="E172" s="185"/>
      <c r="F172" s="707"/>
      <c r="G172" s="707"/>
      <c r="H172" s="707"/>
      <c r="I172" s="707"/>
      <c r="J172" s="707"/>
      <c r="K172" s="616"/>
      <c r="L172" s="616"/>
      <c r="M172" s="616"/>
    </row>
    <row r="173" spans="1:13">
      <c r="A173" s="34"/>
      <c r="B173" s="34" t="s">
        <v>159</v>
      </c>
      <c r="C173" s="34"/>
      <c r="D173" s="34"/>
      <c r="E173" s="185"/>
      <c r="F173" s="707"/>
      <c r="G173" s="707"/>
      <c r="H173" s="707"/>
      <c r="I173" s="707"/>
      <c r="J173" s="707"/>
      <c r="K173" s="616"/>
      <c r="L173" s="616"/>
      <c r="M173" s="616"/>
    </row>
    <row r="174" spans="1:13">
      <c r="A174" s="34"/>
      <c r="B174" s="34" t="s">
        <v>332</v>
      </c>
      <c r="C174" s="34"/>
      <c r="D174" s="34"/>
      <c r="E174" s="185"/>
      <c r="F174" s="707"/>
      <c r="G174" s="707"/>
      <c r="H174" s="707"/>
      <c r="I174" s="707"/>
      <c r="J174" s="707"/>
      <c r="K174" s="616"/>
      <c r="L174" s="616"/>
      <c r="M174" s="616"/>
    </row>
    <row r="175" spans="1:13">
      <c r="A175" s="34"/>
      <c r="B175" s="34"/>
      <c r="C175" s="34"/>
      <c r="D175" s="34"/>
      <c r="E175" s="185"/>
      <c r="F175" s="707"/>
      <c r="G175" s="707"/>
      <c r="H175" s="707"/>
      <c r="I175" s="707"/>
      <c r="J175" s="707"/>
      <c r="K175" s="616"/>
      <c r="L175" s="616"/>
      <c r="M175" s="616"/>
    </row>
    <row r="176" spans="1:13">
      <c r="A176" s="34"/>
      <c r="B176" s="34" t="s">
        <v>161</v>
      </c>
      <c r="C176" s="34"/>
      <c r="D176" s="34"/>
      <c r="E176" s="185"/>
      <c r="F176" s="707"/>
      <c r="G176" s="707"/>
      <c r="H176" s="707"/>
      <c r="I176" s="707"/>
      <c r="J176" s="707"/>
      <c r="K176" s="616"/>
      <c r="L176" s="616"/>
      <c r="M176" s="616"/>
    </row>
    <row r="177" spans="1:13">
      <c r="A177" s="34"/>
      <c r="B177" s="34" t="s">
        <v>162</v>
      </c>
      <c r="C177" s="34"/>
      <c r="D177" s="34"/>
      <c r="E177" s="185"/>
      <c r="F177" s="707"/>
      <c r="G177" s="707"/>
      <c r="H177" s="707"/>
      <c r="I177" s="707"/>
      <c r="J177" s="707"/>
      <c r="K177" s="616"/>
      <c r="L177" s="616"/>
      <c r="M177" s="616"/>
    </row>
    <row r="178" spans="1:13">
      <c r="A178" s="34"/>
      <c r="B178" s="34" t="s">
        <v>163</v>
      </c>
      <c r="C178" s="34"/>
      <c r="D178" s="34"/>
      <c r="E178" s="185"/>
      <c r="F178" s="707"/>
      <c r="G178" s="707"/>
      <c r="H178" s="707"/>
      <c r="I178" s="707"/>
      <c r="J178" s="707"/>
      <c r="K178" s="616"/>
      <c r="L178" s="616"/>
      <c r="M178" s="616"/>
    </row>
    <row r="179" spans="1:13">
      <c r="A179" s="34"/>
      <c r="B179" s="34"/>
      <c r="C179" s="34"/>
      <c r="D179" s="34"/>
      <c r="E179" s="185"/>
      <c r="F179" s="707"/>
      <c r="G179" s="707"/>
      <c r="H179" s="707"/>
      <c r="I179" s="707"/>
      <c r="J179" s="707"/>
      <c r="K179" s="616"/>
      <c r="L179" s="616"/>
      <c r="M179" s="616"/>
    </row>
    <row r="180" spans="1:13">
      <c r="A180" s="34"/>
      <c r="B180" s="34" t="s">
        <v>164</v>
      </c>
      <c r="C180" s="34"/>
      <c r="D180" s="34"/>
      <c r="E180" s="185"/>
      <c r="F180" s="707"/>
      <c r="G180" s="707"/>
      <c r="H180" s="707"/>
      <c r="I180" s="707"/>
      <c r="J180" s="707"/>
      <c r="K180" s="616">
        <v>4795590</v>
      </c>
      <c r="L180" s="616">
        <v>-3614</v>
      </c>
      <c r="M180" s="616">
        <f>K180+L180</f>
        <v>4791976</v>
      </c>
    </row>
    <row r="181" spans="1:13">
      <c r="A181" s="34"/>
      <c r="B181" s="34"/>
      <c r="C181" s="34"/>
      <c r="D181" s="34"/>
      <c r="E181" s="185"/>
      <c r="F181" s="707"/>
      <c r="G181" s="707"/>
      <c r="H181" s="707"/>
      <c r="I181" s="707"/>
      <c r="J181" s="707"/>
      <c r="K181" s="616"/>
      <c r="L181" s="616"/>
      <c r="M181" s="616"/>
    </row>
    <row r="182" spans="1:13" ht="13.5" thickBot="1">
      <c r="A182" s="34"/>
      <c r="B182" s="613" t="s">
        <v>165</v>
      </c>
      <c r="C182" s="34"/>
      <c r="D182" s="34"/>
      <c r="E182" s="185"/>
      <c r="F182" s="707"/>
      <c r="G182" s="707"/>
      <c r="H182" s="707"/>
      <c r="I182" s="707"/>
      <c r="J182" s="707"/>
      <c r="K182" s="725" t="e">
        <f>K142+K146+K151+K162+K169+K180</f>
        <v>#REF!</v>
      </c>
      <c r="L182" s="725">
        <f>SUM(L142:L181)</f>
        <v>46131</v>
      </c>
      <c r="M182" s="725" t="e">
        <f>M142+M146+M151+M162+M169+M180</f>
        <v>#REF!</v>
      </c>
    </row>
    <row r="183" spans="1:13" ht="16.5" thickTop="1">
      <c r="A183" s="710" t="str">
        <f>A138</f>
        <v>Meridian Energy</v>
      </c>
      <c r="B183" s="710"/>
      <c r="C183" s="710"/>
      <c r="D183" s="1014"/>
      <c r="E183" s="185"/>
      <c r="F183" s="707"/>
      <c r="G183" s="707"/>
      <c r="H183" s="707"/>
      <c r="I183" s="707"/>
      <c r="J183" s="707"/>
      <c r="K183" s="37" t="s">
        <v>195</v>
      </c>
      <c r="L183" s="1023" t="s">
        <v>479</v>
      </c>
      <c r="M183" s="1024" t="s">
        <v>469</v>
      </c>
    </row>
    <row r="184" spans="1:13" ht="15.75">
      <c r="A184" s="972"/>
      <c r="B184" s="972"/>
      <c r="C184" s="972"/>
      <c r="D184" s="973"/>
      <c r="E184" s="185"/>
      <c r="F184" s="707"/>
      <c r="G184" s="707"/>
      <c r="H184" s="707"/>
      <c r="I184" s="707"/>
      <c r="J184" s="707"/>
      <c r="K184" s="772">
        <v>2006</v>
      </c>
      <c r="L184" s="772"/>
      <c r="M184" s="772">
        <v>2006</v>
      </c>
    </row>
    <row r="185" spans="1:13">
      <c r="E185" s="185"/>
      <c r="F185" s="707"/>
      <c r="G185" s="707"/>
      <c r="H185" s="707"/>
      <c r="I185" s="707"/>
      <c r="J185" s="707"/>
      <c r="K185" s="613" t="s">
        <v>480</v>
      </c>
      <c r="M185" s="613" t="s">
        <v>481</v>
      </c>
    </row>
    <row r="186" spans="1:13">
      <c r="A186" s="757" t="s">
        <v>20</v>
      </c>
      <c r="B186" s="758"/>
      <c r="C186" s="749"/>
      <c r="D186" s="749"/>
      <c r="E186" s="185"/>
      <c r="F186" s="707"/>
      <c r="G186" s="707"/>
      <c r="H186" s="707"/>
      <c r="I186" s="707"/>
      <c r="J186" s="707"/>
      <c r="K186" s="740">
        <v>2006</v>
      </c>
      <c r="L186" s="714"/>
      <c r="M186" s="740">
        <v>2006</v>
      </c>
    </row>
    <row r="187" spans="1:13">
      <c r="A187" s="34"/>
      <c r="B187" s="34" t="s">
        <v>167</v>
      </c>
      <c r="C187" s="34"/>
      <c r="D187" s="34"/>
      <c r="E187" s="185"/>
      <c r="F187" s="707"/>
      <c r="G187" s="707"/>
      <c r="H187" s="707"/>
      <c r="I187" s="707"/>
      <c r="J187" s="707"/>
      <c r="K187" s="616">
        <v>9347</v>
      </c>
      <c r="L187" s="616"/>
      <c r="M187" s="616">
        <f t="shared" ref="M187:M200" si="13">K187+L187</f>
        <v>9347</v>
      </c>
    </row>
    <row r="188" spans="1:13">
      <c r="A188" s="34"/>
      <c r="B188" s="34" t="s">
        <v>168</v>
      </c>
      <c r="C188" s="34"/>
      <c r="D188" s="34"/>
      <c r="E188" s="185"/>
      <c r="F188" s="707"/>
      <c r="G188" s="707"/>
      <c r="H188" s="707"/>
      <c r="I188" s="707"/>
      <c r="J188" s="707"/>
      <c r="K188" s="616">
        <v>6510</v>
      </c>
      <c r="L188" s="616"/>
      <c r="M188" s="616">
        <f t="shared" si="13"/>
        <v>6510</v>
      </c>
    </row>
    <row r="189" spans="1:13">
      <c r="A189" s="34"/>
      <c r="B189" s="34" t="s">
        <v>169</v>
      </c>
      <c r="C189" s="34"/>
      <c r="D189" s="34"/>
      <c r="E189" s="185"/>
      <c r="F189" s="707"/>
      <c r="G189" s="707"/>
      <c r="H189" s="707"/>
      <c r="I189" s="707"/>
      <c r="J189" s="707"/>
      <c r="K189" s="616">
        <v>5596</v>
      </c>
      <c r="L189" s="616"/>
      <c r="M189" s="616">
        <f t="shared" si="13"/>
        <v>5596</v>
      </c>
    </row>
    <row r="190" spans="1:13">
      <c r="A190" s="34"/>
      <c r="B190" s="34" t="s">
        <v>170</v>
      </c>
      <c r="C190" s="34"/>
      <c r="D190" s="34"/>
      <c r="E190" s="185"/>
      <c r="F190" s="707"/>
      <c r="G190" s="707"/>
      <c r="H190" s="707"/>
      <c r="I190" s="707"/>
      <c r="J190" s="707"/>
      <c r="K190" s="616">
        <v>0</v>
      </c>
      <c r="L190" s="616"/>
      <c r="M190" s="616">
        <f t="shared" si="13"/>
        <v>0</v>
      </c>
    </row>
    <row r="191" spans="1:13">
      <c r="A191" s="34"/>
      <c r="B191" s="34" t="s">
        <v>171</v>
      </c>
      <c r="C191" s="34"/>
      <c r="D191" s="34"/>
      <c r="E191" s="185"/>
      <c r="F191" s="707"/>
      <c r="G191" s="707"/>
      <c r="H191" s="707"/>
      <c r="I191" s="707"/>
      <c r="J191" s="707"/>
      <c r="K191" s="616">
        <v>0</v>
      </c>
      <c r="L191" s="616"/>
      <c r="M191" s="616">
        <f t="shared" si="13"/>
        <v>0</v>
      </c>
    </row>
    <row r="192" spans="1:13">
      <c r="A192" s="34"/>
      <c r="B192" s="34" t="s">
        <v>172</v>
      </c>
      <c r="C192" s="34"/>
      <c r="D192" s="34"/>
      <c r="E192" s="185"/>
      <c r="F192" s="707"/>
      <c r="G192" s="707"/>
      <c r="H192" s="707"/>
      <c r="I192" s="707"/>
      <c r="J192" s="707"/>
      <c r="K192" s="616">
        <v>165161</v>
      </c>
      <c r="L192" s="616">
        <v>-1</v>
      </c>
      <c r="M192" s="616">
        <f t="shared" si="13"/>
        <v>165160</v>
      </c>
    </row>
    <row r="193" spans="1:13">
      <c r="A193" s="34"/>
      <c r="B193" s="34" t="s">
        <v>173</v>
      </c>
      <c r="C193" s="34"/>
      <c r="D193" s="34"/>
      <c r="E193" s="185"/>
      <c r="F193" s="707"/>
      <c r="G193" s="707"/>
      <c r="H193" s="707"/>
      <c r="I193" s="707"/>
      <c r="J193" s="707"/>
      <c r="K193" s="616">
        <v>0</v>
      </c>
      <c r="L193" s="616"/>
      <c r="M193" s="616">
        <f t="shared" si="13"/>
        <v>0</v>
      </c>
    </row>
    <row r="194" spans="1:13">
      <c r="A194" s="34"/>
      <c r="B194" s="34" t="s">
        <v>174</v>
      </c>
      <c r="C194" s="34"/>
      <c r="D194" s="34"/>
      <c r="E194" s="185"/>
      <c r="F194" s="707"/>
      <c r="G194" s="707"/>
      <c r="H194" s="707"/>
      <c r="I194" s="707"/>
      <c r="J194" s="707"/>
      <c r="K194" s="616">
        <v>6523</v>
      </c>
      <c r="L194" s="616"/>
      <c r="M194" s="616">
        <f t="shared" si="13"/>
        <v>6523</v>
      </c>
    </row>
    <row r="195" spans="1:13">
      <c r="A195" s="34"/>
      <c r="B195" s="34" t="s">
        <v>175</v>
      </c>
      <c r="C195" s="34"/>
      <c r="D195" s="34"/>
      <c r="E195" s="185"/>
      <c r="F195" s="707"/>
      <c r="G195" s="707"/>
      <c r="H195" s="707"/>
      <c r="I195" s="707"/>
      <c r="J195" s="707"/>
      <c r="K195" s="616">
        <v>0</v>
      </c>
      <c r="L195" s="616"/>
      <c r="M195" s="616">
        <f t="shared" si="13"/>
        <v>0</v>
      </c>
    </row>
    <row r="196" spans="1:13">
      <c r="A196" s="34"/>
      <c r="B196" s="34" t="s">
        <v>151</v>
      </c>
      <c r="C196" s="34"/>
      <c r="D196" s="34"/>
      <c r="E196" s="185"/>
      <c r="F196" s="707"/>
      <c r="G196" s="707"/>
      <c r="H196" s="707"/>
      <c r="I196" s="707"/>
      <c r="J196" s="707"/>
      <c r="K196" s="616" t="e">
        <f>'4_Fin-Stat'!#REF!</f>
        <v>#REF!</v>
      </c>
      <c r="L196" s="616"/>
      <c r="M196" s="616" t="e">
        <f t="shared" si="13"/>
        <v>#REF!</v>
      </c>
    </row>
    <row r="197" spans="1:13">
      <c r="A197" s="34"/>
      <c r="B197" s="34" t="s">
        <v>176</v>
      </c>
      <c r="C197" s="34"/>
      <c r="D197" s="34"/>
      <c r="E197" s="185"/>
      <c r="F197" s="707"/>
      <c r="G197" s="707"/>
      <c r="H197" s="707"/>
      <c r="I197" s="707"/>
      <c r="J197" s="707"/>
      <c r="K197" s="616">
        <v>2085</v>
      </c>
      <c r="L197" s="616"/>
      <c r="M197" s="616">
        <f t="shared" si="13"/>
        <v>2085</v>
      </c>
    </row>
    <row r="198" spans="1:13">
      <c r="A198" s="34"/>
      <c r="B198" s="34" t="s">
        <v>177</v>
      </c>
      <c r="C198" s="34"/>
      <c r="D198" s="34"/>
      <c r="E198" s="185"/>
      <c r="F198" s="707"/>
      <c r="G198" s="707"/>
      <c r="H198" s="707"/>
      <c r="I198" s="707"/>
      <c r="J198" s="707"/>
      <c r="K198" s="616">
        <v>0</v>
      </c>
      <c r="L198" s="616"/>
      <c r="M198" s="616">
        <f t="shared" si="13"/>
        <v>0</v>
      </c>
    </row>
    <row r="199" spans="1:13">
      <c r="A199" s="34"/>
      <c r="B199" s="34" t="s">
        <v>178</v>
      </c>
      <c r="C199" s="34"/>
      <c r="D199" s="34"/>
      <c r="E199" s="185"/>
      <c r="F199" s="707"/>
      <c r="G199" s="707"/>
      <c r="H199" s="707"/>
      <c r="I199" s="707"/>
      <c r="J199" s="707"/>
      <c r="K199" s="616">
        <v>0</v>
      </c>
      <c r="L199" s="616"/>
      <c r="M199" s="616">
        <f t="shared" si="13"/>
        <v>0</v>
      </c>
    </row>
    <row r="200" spans="1:13">
      <c r="A200" s="34"/>
      <c r="B200" s="34" t="s">
        <v>179</v>
      </c>
      <c r="C200" s="34"/>
      <c r="D200" s="34"/>
      <c r="E200" s="185"/>
      <c r="F200" s="707"/>
      <c r="G200" s="707"/>
      <c r="H200" s="707"/>
      <c r="I200" s="707"/>
      <c r="J200" s="707"/>
      <c r="K200" s="702">
        <v>0</v>
      </c>
      <c r="L200" s="616"/>
      <c r="M200" s="702">
        <f t="shared" si="13"/>
        <v>0</v>
      </c>
    </row>
    <row r="201" spans="1:13">
      <c r="A201" s="34"/>
      <c r="B201" s="34"/>
      <c r="C201" s="34"/>
      <c r="D201" s="34"/>
      <c r="E201" s="185"/>
      <c r="F201" s="707"/>
      <c r="G201" s="707"/>
      <c r="H201" s="707"/>
      <c r="I201" s="707"/>
      <c r="J201" s="707"/>
      <c r="K201" s="616" t="e">
        <f>SUM(K187:K200)</f>
        <v>#REF!</v>
      </c>
      <c r="L201" s="616"/>
      <c r="M201" s="616" t="e">
        <f>SUM(M187:M200)</f>
        <v>#REF!</v>
      </c>
    </row>
    <row r="202" spans="1:13">
      <c r="A202" s="34"/>
      <c r="B202" s="34"/>
      <c r="C202" s="34"/>
      <c r="D202" s="34"/>
      <c r="E202" s="185"/>
      <c r="F202" s="707"/>
      <c r="G202" s="707"/>
      <c r="H202" s="707"/>
      <c r="I202" s="707"/>
      <c r="J202" s="707"/>
      <c r="K202" s="616"/>
      <c r="L202" s="616"/>
      <c r="M202" s="616">
        <f t="shared" ref="M202:M208" si="14">K202+L202</f>
        <v>0</v>
      </c>
    </row>
    <row r="203" spans="1:13">
      <c r="A203" s="34"/>
      <c r="B203" s="34" t="s">
        <v>12</v>
      </c>
      <c r="C203" s="34"/>
      <c r="D203" s="34"/>
      <c r="E203" s="185"/>
      <c r="F203" s="707"/>
      <c r="G203" s="707"/>
      <c r="H203" s="707"/>
      <c r="I203" s="707"/>
      <c r="J203" s="707"/>
      <c r="K203" s="616">
        <v>152089</v>
      </c>
      <c r="L203" s="616">
        <v>818870</v>
      </c>
      <c r="M203" s="616">
        <f t="shared" si="14"/>
        <v>970959</v>
      </c>
    </row>
    <row r="204" spans="1:13">
      <c r="A204" s="34"/>
      <c r="B204" s="34" t="s">
        <v>175</v>
      </c>
      <c r="C204" s="34"/>
      <c r="D204" s="34"/>
      <c r="E204" s="185"/>
      <c r="F204" s="707"/>
      <c r="G204" s="707"/>
      <c r="H204" s="707"/>
      <c r="I204" s="707"/>
      <c r="J204" s="707"/>
      <c r="K204" s="616">
        <v>0</v>
      </c>
      <c r="L204" s="616"/>
      <c r="M204" s="616">
        <f t="shared" si="14"/>
        <v>0</v>
      </c>
    </row>
    <row r="205" spans="1:13">
      <c r="A205" s="34"/>
      <c r="B205" s="34" t="s">
        <v>155</v>
      </c>
      <c r="C205" s="34"/>
      <c r="D205" s="34"/>
      <c r="E205" s="185"/>
      <c r="F205" s="707"/>
      <c r="G205" s="707"/>
      <c r="H205" s="707"/>
      <c r="I205" s="707"/>
      <c r="J205" s="707"/>
      <c r="K205" s="616">
        <v>0</v>
      </c>
      <c r="L205" s="616">
        <v>21004</v>
      </c>
      <c r="M205" s="616">
        <f t="shared" si="14"/>
        <v>21004</v>
      </c>
    </row>
    <row r="206" spans="1:13">
      <c r="A206" s="34"/>
      <c r="B206" s="34" t="s">
        <v>180</v>
      </c>
      <c r="C206" s="34"/>
      <c r="D206" s="34"/>
      <c r="E206" s="185"/>
      <c r="F206" s="707"/>
      <c r="G206" s="707"/>
      <c r="H206" s="707"/>
      <c r="I206" s="707"/>
      <c r="J206" s="707"/>
      <c r="K206" s="616">
        <v>0</v>
      </c>
      <c r="L206" s="616"/>
      <c r="M206" s="616">
        <f t="shared" si="14"/>
        <v>0</v>
      </c>
    </row>
    <row r="207" spans="1:13">
      <c r="A207" s="34"/>
      <c r="B207" s="34" t="s">
        <v>181</v>
      </c>
      <c r="C207" s="34"/>
      <c r="D207" s="34"/>
      <c r="E207" s="185"/>
      <c r="F207" s="707"/>
      <c r="G207" s="707"/>
      <c r="H207" s="707"/>
      <c r="I207" s="707"/>
      <c r="J207" s="707"/>
      <c r="K207" s="616">
        <v>0</v>
      </c>
      <c r="L207" s="616"/>
      <c r="M207" s="616">
        <f t="shared" si="14"/>
        <v>0</v>
      </c>
    </row>
    <row r="208" spans="1:13">
      <c r="A208" s="34"/>
      <c r="B208" s="34" t="s">
        <v>182</v>
      </c>
      <c r="C208" s="34"/>
      <c r="D208" s="34"/>
      <c r="E208" s="185"/>
      <c r="F208" s="707"/>
      <c r="G208" s="707"/>
      <c r="H208" s="707"/>
      <c r="I208" s="707"/>
      <c r="J208" s="707"/>
      <c r="K208" s="702">
        <v>754649</v>
      </c>
      <c r="L208" s="616">
        <v>5545</v>
      </c>
      <c r="M208" s="702">
        <f t="shared" si="14"/>
        <v>760194</v>
      </c>
    </row>
    <row r="209" spans="1:13">
      <c r="A209" s="34"/>
      <c r="B209" s="34"/>
      <c r="C209" s="34"/>
      <c r="D209" s="34"/>
      <c r="E209" s="185"/>
      <c r="F209" s="707"/>
      <c r="G209" s="707"/>
      <c r="H209" s="707"/>
      <c r="I209" s="707"/>
      <c r="J209" s="707"/>
      <c r="K209" s="616">
        <f>SUM(K203:K208)</f>
        <v>906738</v>
      </c>
      <c r="L209" s="616"/>
      <c r="M209" s="616">
        <f>SUM(M203:M208)</f>
        <v>1752157</v>
      </c>
    </row>
    <row r="210" spans="1:13">
      <c r="A210" s="34"/>
      <c r="B210" s="34"/>
      <c r="C210" s="34"/>
      <c r="D210" s="34"/>
      <c r="E210" s="185"/>
      <c r="F210" s="707"/>
      <c r="H210" t="s">
        <v>482</v>
      </c>
      <c r="J210" s="707"/>
      <c r="K210" s="616"/>
      <c r="L210" s="616"/>
      <c r="M210" s="616">
        <f t="shared" ref="M210:M217" si="15">K210+L210</f>
        <v>0</v>
      </c>
    </row>
    <row r="211" spans="1:13">
      <c r="A211" s="34"/>
      <c r="B211" s="34" t="s">
        <v>183</v>
      </c>
      <c r="C211" s="34"/>
      <c r="D211" s="34"/>
      <c r="E211" s="185"/>
      <c r="F211" s="707"/>
      <c r="H211" s="32" t="s">
        <v>483</v>
      </c>
      <c r="J211" s="707"/>
      <c r="K211" s="616">
        <v>1600000</v>
      </c>
      <c r="L211" s="616"/>
      <c r="M211" s="616">
        <f t="shared" si="15"/>
        <v>1600000</v>
      </c>
    </row>
    <row r="212" spans="1:13">
      <c r="A212" s="34"/>
      <c r="B212" s="34" t="s">
        <v>15</v>
      </c>
      <c r="C212" s="34"/>
      <c r="D212" s="34"/>
      <c r="E212" s="185"/>
      <c r="F212" s="707"/>
      <c r="H212" s="616">
        <v>2477802</v>
      </c>
      <c r="I212" t="s">
        <v>484</v>
      </c>
      <c r="J212" s="707"/>
      <c r="K212" s="707">
        <f>H212</f>
        <v>2477802</v>
      </c>
      <c r="L212" s="616">
        <v>-824177</v>
      </c>
      <c r="M212" s="616">
        <f t="shared" si="15"/>
        <v>1653625</v>
      </c>
    </row>
    <row r="213" spans="1:13">
      <c r="A213" s="34"/>
      <c r="B213" s="34" t="s">
        <v>184</v>
      </c>
      <c r="C213" s="34"/>
      <c r="D213" s="34"/>
      <c r="E213" s="185"/>
      <c r="F213" s="707"/>
      <c r="H213" s="702">
        <v>2476890</v>
      </c>
      <c r="I213" t="s">
        <v>485</v>
      </c>
      <c r="J213" s="707"/>
      <c r="K213" s="616">
        <v>0</v>
      </c>
      <c r="L213" s="616"/>
      <c r="M213" s="616">
        <f t="shared" si="15"/>
        <v>0</v>
      </c>
    </row>
    <row r="214" spans="1:13">
      <c r="A214" s="34"/>
      <c r="B214" s="34" t="s">
        <v>185</v>
      </c>
      <c r="C214" s="34"/>
      <c r="D214" s="34"/>
      <c r="E214" s="185"/>
      <c r="F214" s="707"/>
      <c r="H214" s="616">
        <f>H212-H213</f>
        <v>912</v>
      </c>
      <c r="J214" s="707"/>
      <c r="K214" s="616">
        <v>6</v>
      </c>
      <c r="L214" s="616"/>
      <c r="M214" s="616">
        <f t="shared" si="15"/>
        <v>6</v>
      </c>
    </row>
    <row r="215" spans="1:13">
      <c r="A215" s="34"/>
      <c r="B215" s="34" t="s">
        <v>186</v>
      </c>
      <c r="C215" s="34"/>
      <c r="D215" s="34"/>
      <c r="E215" s="185"/>
      <c r="F215" s="707"/>
      <c r="H215" s="616"/>
      <c r="J215" s="707"/>
      <c r="K215" s="616"/>
      <c r="L215" s="616">
        <v>14891</v>
      </c>
      <c r="M215" s="616">
        <f t="shared" si="15"/>
        <v>14891</v>
      </c>
    </row>
    <row r="216" spans="1:13">
      <c r="A216" s="34"/>
      <c r="B216" s="34" t="s">
        <v>187</v>
      </c>
      <c r="C216" s="34"/>
      <c r="D216" s="34"/>
      <c r="E216" s="185"/>
      <c r="F216" s="707"/>
      <c r="H216" s="32" t="s">
        <v>486</v>
      </c>
      <c r="J216" s="707"/>
      <c r="K216" s="616"/>
      <c r="L216" s="616">
        <v>1065</v>
      </c>
      <c r="M216" s="616">
        <f t="shared" si="15"/>
        <v>1065</v>
      </c>
    </row>
    <row r="217" spans="1:13">
      <c r="A217" s="34"/>
      <c r="B217" s="34" t="s">
        <v>188</v>
      </c>
      <c r="C217" s="34"/>
      <c r="D217" s="34"/>
      <c r="E217" s="185"/>
      <c r="F217" s="707"/>
      <c r="H217" s="616">
        <v>160455</v>
      </c>
      <c r="I217" t="s">
        <v>485</v>
      </c>
      <c r="J217" s="707"/>
      <c r="K217" s="724">
        <f>H218</f>
        <v>159543</v>
      </c>
      <c r="L217" s="616">
        <v>8934</v>
      </c>
      <c r="M217" s="702">
        <f t="shared" si="15"/>
        <v>168477</v>
      </c>
    </row>
    <row r="218" spans="1:13">
      <c r="A218" s="34"/>
      <c r="B218" s="34" t="s">
        <v>189</v>
      </c>
      <c r="C218" s="34"/>
      <c r="D218" s="34"/>
      <c r="E218" s="185"/>
      <c r="F218" s="707"/>
      <c r="H218" s="702">
        <v>159543</v>
      </c>
      <c r="I218" t="s">
        <v>484</v>
      </c>
      <c r="J218" s="707"/>
      <c r="K218" s="616">
        <f>SUM(K211:K217)</f>
        <v>4237351</v>
      </c>
      <c r="L218" s="616"/>
      <c r="M218" s="616">
        <f>SUM(M211:M217)</f>
        <v>3438064</v>
      </c>
    </row>
    <row r="219" spans="1:13">
      <c r="A219" s="34"/>
      <c r="B219" s="34" t="s">
        <v>190</v>
      </c>
      <c r="C219" s="34"/>
      <c r="D219" s="34"/>
      <c r="E219" s="185"/>
      <c r="F219" s="707"/>
      <c r="H219" s="616">
        <f>H217-H218</f>
        <v>912</v>
      </c>
      <c r="J219" s="707"/>
      <c r="K219" s="616">
        <v>0</v>
      </c>
      <c r="L219" s="616"/>
      <c r="M219" s="616">
        <f>K219+L219</f>
        <v>0</v>
      </c>
    </row>
    <row r="220" spans="1:13">
      <c r="A220" s="34"/>
      <c r="B220" s="34" t="s">
        <v>191</v>
      </c>
      <c r="C220" s="34"/>
      <c r="D220" s="34"/>
      <c r="E220" s="185"/>
      <c r="F220" s="707"/>
      <c r="G220" s="707"/>
      <c r="H220" s="707"/>
      <c r="I220" s="707"/>
      <c r="J220" s="707"/>
      <c r="K220" s="702">
        <v>0</v>
      </c>
      <c r="L220" s="702"/>
      <c r="M220" s="702">
        <f>K220+L220</f>
        <v>0</v>
      </c>
    </row>
    <row r="221" spans="1:13">
      <c r="A221" s="34"/>
      <c r="B221" s="34" t="s">
        <v>192</v>
      </c>
      <c r="C221" s="34"/>
      <c r="D221" s="34"/>
      <c r="E221" s="185"/>
      <c r="F221" s="707"/>
      <c r="G221" s="707"/>
      <c r="H221" s="707"/>
      <c r="I221" s="707"/>
      <c r="J221" s="707"/>
      <c r="K221" s="616">
        <f>SUM(K218:K220)</f>
        <v>4237351</v>
      </c>
      <c r="L221" s="616">
        <f>SUM(L187:L220)</f>
        <v>46131</v>
      </c>
      <c r="M221" s="616">
        <f>SUM(M218:M220)</f>
        <v>3438064</v>
      </c>
    </row>
    <row r="222" spans="1:13">
      <c r="A222" s="34"/>
      <c r="B222" s="34"/>
      <c r="C222" s="34"/>
      <c r="D222" s="34"/>
      <c r="E222" s="185"/>
      <c r="F222" s="707"/>
      <c r="G222" s="707"/>
      <c r="H222" s="707"/>
      <c r="I222" s="707"/>
      <c r="J222" s="707"/>
      <c r="K222" s="616"/>
      <c r="L222" s="616"/>
      <c r="M222" s="616"/>
    </row>
    <row r="223" spans="1:13" ht="13.5" thickBot="1">
      <c r="A223" s="34"/>
      <c r="B223" s="613" t="s">
        <v>165</v>
      </c>
      <c r="C223" s="34"/>
      <c r="D223" s="34"/>
      <c r="E223" s="185"/>
      <c r="F223" s="707"/>
      <c r="G223" s="707"/>
      <c r="H223" s="707"/>
      <c r="I223" s="707"/>
      <c r="J223" s="707"/>
      <c r="K223" s="725" t="e">
        <f>K201+K209+K221</f>
        <v>#REF!</v>
      </c>
      <c r="L223" s="616"/>
      <c r="M223" s="725" t="e">
        <f>M201+M209+M221</f>
        <v>#REF!</v>
      </c>
    </row>
    <row r="224" spans="1:13" ht="13.5" thickTop="1">
      <c r="A224" s="43"/>
      <c r="B224" s="13"/>
      <c r="C224" s="4"/>
      <c r="D224" s="4"/>
      <c r="E224" s="618"/>
      <c r="F224" s="724"/>
      <c r="G224" s="724"/>
      <c r="H224" s="724"/>
      <c r="I224" s="724"/>
      <c r="J224" s="724"/>
      <c r="K224" s="4"/>
      <c r="L224" s="702"/>
      <c r="M224" s="4"/>
    </row>
    <row r="225" spans="1:13">
      <c r="A225" s="1021"/>
      <c r="B225" s="1022"/>
      <c r="C225" s="1018"/>
      <c r="D225" s="1018"/>
      <c r="E225" s="1019"/>
      <c r="F225" s="1020"/>
      <c r="G225" s="1020"/>
      <c r="H225" s="1020"/>
      <c r="I225" s="1020"/>
      <c r="J225" s="1020"/>
      <c r="K225" s="1020" t="e">
        <f>K182-K223</f>
        <v>#REF!</v>
      </c>
      <c r="L225" s="1020"/>
      <c r="M225" s="1020" t="e">
        <f>M182-M223</f>
        <v>#REF!</v>
      </c>
    </row>
    <row r="226" spans="1:13">
      <c r="A226" s="616"/>
      <c r="B226" s="616"/>
      <c r="C226" s="616"/>
    </row>
    <row r="227" spans="1:13">
      <c r="A227" s="616"/>
      <c r="B227" s="616"/>
      <c r="C227" s="616"/>
    </row>
    <row r="228" spans="1:13">
      <c r="A228" s="616"/>
      <c r="B228" s="616"/>
      <c r="C228" s="616"/>
    </row>
    <row r="229" spans="1:13">
      <c r="A229" s="616"/>
      <c r="B229" s="616"/>
      <c r="C229" s="616"/>
    </row>
    <row r="230" spans="1:13">
      <c r="A230" s="616"/>
      <c r="B230" s="616"/>
      <c r="C230" s="616"/>
    </row>
    <row r="231" spans="1:13">
      <c r="A231" s="616"/>
      <c r="B231" s="616"/>
      <c r="C231" s="616"/>
    </row>
    <row r="232" spans="1:13">
      <c r="A232" s="616"/>
      <c r="B232" s="616"/>
      <c r="C232" s="616"/>
    </row>
    <row r="233" spans="1:13">
      <c r="A233" s="616"/>
      <c r="B233" s="616"/>
      <c r="C233" s="616"/>
    </row>
    <row r="234" spans="1:13">
      <c r="A234" s="616"/>
      <c r="B234" s="616"/>
      <c r="C234" s="616"/>
    </row>
    <row r="235" spans="1:13">
      <c r="A235" s="616"/>
      <c r="B235" s="616"/>
      <c r="C235" s="616"/>
    </row>
    <row r="236" spans="1:13">
      <c r="A236" s="616"/>
      <c r="B236" s="616"/>
      <c r="C236" s="616"/>
    </row>
    <row r="237" spans="1:13">
      <c r="A237" s="616"/>
      <c r="B237" s="616"/>
      <c r="C237" s="616"/>
    </row>
    <row r="238" spans="1:13">
      <c r="A238" s="616"/>
      <c r="B238" s="616"/>
      <c r="C238" s="616"/>
    </row>
    <row r="239" spans="1:13">
      <c r="A239" s="616"/>
      <c r="B239" s="616"/>
      <c r="C239" s="616"/>
    </row>
    <row r="240" spans="1:13">
      <c r="A240" s="616"/>
      <c r="B240" s="616"/>
      <c r="C240" s="616"/>
    </row>
    <row r="241" spans="1:9">
      <c r="A241" s="616"/>
      <c r="B241" s="616"/>
      <c r="C241" s="616"/>
    </row>
    <row r="242" spans="1:9">
      <c r="A242" s="616"/>
      <c r="B242" s="616"/>
      <c r="C242" s="616"/>
    </row>
    <row r="243" spans="1:9">
      <c r="A243" s="616"/>
      <c r="B243" s="616"/>
      <c r="C243" s="616"/>
    </row>
    <row r="244" spans="1:9">
      <c r="A244" s="616"/>
      <c r="B244" s="616"/>
      <c r="C244" s="616"/>
      <c r="D244" s="14"/>
      <c r="E244" s="14"/>
      <c r="F244" s="14"/>
      <c r="G244" s="14"/>
      <c r="H244" s="14"/>
      <c r="I244" s="14"/>
    </row>
    <row r="245" spans="1:9">
      <c r="A245" s="616"/>
      <c r="B245" s="616"/>
      <c r="C245" s="616"/>
    </row>
    <row r="246" spans="1:9">
      <c r="A246" s="616"/>
      <c r="B246" s="616"/>
      <c r="C246" s="616"/>
      <c r="D246" s="14"/>
      <c r="E246" s="14"/>
      <c r="F246" s="14"/>
      <c r="G246" s="14"/>
      <c r="H246" s="14"/>
      <c r="I246" s="14"/>
    </row>
    <row r="247" spans="1:9">
      <c r="A247" s="616"/>
      <c r="B247" s="616"/>
      <c r="C247" s="616"/>
    </row>
    <row r="248" spans="1:9">
      <c r="A248" s="616"/>
      <c r="B248" s="616"/>
      <c r="C248" s="616"/>
    </row>
    <row r="249" spans="1:9">
      <c r="A249" s="616"/>
      <c r="B249" s="616"/>
      <c r="C249" s="616"/>
    </row>
    <row r="250" spans="1:9">
      <c r="A250" s="616"/>
      <c r="B250" s="616"/>
      <c r="C250" s="616"/>
    </row>
    <row r="251" spans="1:9">
      <c r="A251" s="616"/>
      <c r="B251" s="616"/>
      <c r="C251" s="616"/>
    </row>
    <row r="252" spans="1:9">
      <c r="A252" s="616"/>
      <c r="B252" s="616"/>
      <c r="C252" s="616"/>
    </row>
    <row r="253" spans="1:9">
      <c r="A253" s="616"/>
      <c r="B253" s="616"/>
      <c r="C253" s="616"/>
    </row>
    <row r="254" spans="1:9">
      <c r="A254" s="616"/>
      <c r="B254" s="616"/>
      <c r="C254" s="616"/>
    </row>
    <row r="255" spans="1:9">
      <c r="A255" s="616"/>
      <c r="B255" s="616"/>
      <c r="C255" s="616"/>
    </row>
    <row r="256" spans="1:9">
      <c r="A256" s="616"/>
      <c r="B256" s="616"/>
      <c r="C256" s="616"/>
    </row>
    <row r="257" spans="1:11">
      <c r="A257" s="616"/>
      <c r="B257" s="616"/>
      <c r="C257" s="616"/>
    </row>
    <row r="258" spans="1:11">
      <c r="A258" s="616"/>
      <c r="B258" s="616"/>
      <c r="C258" s="616"/>
    </row>
    <row r="259" spans="1:11">
      <c r="A259" s="616"/>
      <c r="B259" s="616"/>
      <c r="C259" s="616"/>
    </row>
    <row r="260" spans="1:11">
      <c r="A260" s="616"/>
      <c r="B260" s="616"/>
      <c r="C260" s="616"/>
    </row>
    <row r="261" spans="1:11">
      <c r="A261" s="616"/>
      <c r="B261" s="616"/>
      <c r="C261" s="616"/>
    </row>
    <row r="262" spans="1:11">
      <c r="A262" s="616"/>
      <c r="B262" s="616"/>
      <c r="C262" s="616"/>
    </row>
    <row r="263" spans="1:11">
      <c r="A263" s="616"/>
      <c r="B263" s="616"/>
      <c r="C263" s="616"/>
    </row>
    <row r="264" spans="1:11">
      <c r="A264" s="616"/>
      <c r="B264" s="616"/>
      <c r="C264" s="616"/>
    </row>
    <row r="265" spans="1:11">
      <c r="A265" s="616"/>
      <c r="B265" s="616"/>
      <c r="C265" s="616"/>
    </row>
    <row r="266" spans="1:11">
      <c r="A266" s="616"/>
      <c r="B266" s="616"/>
      <c r="C266" s="616"/>
    </row>
    <row r="267" spans="1:11">
      <c r="A267" s="616"/>
      <c r="B267" s="616"/>
      <c r="C267" s="616"/>
    </row>
    <row r="268" spans="1:11">
      <c r="A268" s="616"/>
      <c r="B268" s="616"/>
      <c r="C268" s="616"/>
    </row>
    <row r="269" spans="1:11">
      <c r="A269" s="616"/>
      <c r="B269" s="616"/>
      <c r="C269" s="616"/>
      <c r="D269" s="14"/>
      <c r="E269" s="14"/>
      <c r="F269" s="14"/>
      <c r="G269" s="14"/>
      <c r="H269" s="14"/>
      <c r="I269" s="14"/>
      <c r="J269" s="14"/>
      <c r="K269" s="14"/>
    </row>
    <row r="270" spans="1:11">
      <c r="A270" s="616"/>
      <c r="B270" s="616"/>
      <c r="C270" s="616"/>
      <c r="D270" s="14"/>
      <c r="E270" s="14"/>
      <c r="F270" s="14"/>
      <c r="G270" s="14"/>
      <c r="H270" s="14"/>
      <c r="I270" s="14"/>
    </row>
    <row r="271" spans="1:11">
      <c r="A271" s="616"/>
      <c r="B271" s="616"/>
      <c r="C271" s="616"/>
    </row>
    <row r="272" spans="1:11">
      <c r="A272" s="616"/>
      <c r="B272" s="616"/>
      <c r="C272" s="616"/>
    </row>
    <row r="273" spans="1:3">
      <c r="A273" s="616"/>
      <c r="B273" s="616"/>
      <c r="C273" s="616"/>
    </row>
    <row r="274" spans="1:3">
      <c r="A274" s="616"/>
      <c r="B274" s="616"/>
      <c r="C274" s="616"/>
    </row>
    <row r="275" spans="1:3">
      <c r="A275" s="616"/>
      <c r="B275" s="616"/>
      <c r="C275" s="616"/>
    </row>
    <row r="276" spans="1:3">
      <c r="A276" s="616"/>
      <c r="B276" s="616"/>
      <c r="C276" s="616"/>
    </row>
    <row r="277" spans="1:3">
      <c r="A277" s="616"/>
      <c r="B277" s="616"/>
      <c r="C277" s="616"/>
    </row>
    <row r="278" spans="1:3">
      <c r="A278" s="616"/>
      <c r="B278" s="616"/>
      <c r="C278" s="616"/>
    </row>
    <row r="279" spans="1:3">
      <c r="A279" s="616"/>
      <c r="B279" s="616"/>
      <c r="C279" s="616"/>
    </row>
    <row r="280" spans="1:3">
      <c r="A280" s="616"/>
      <c r="B280" s="616"/>
      <c r="C280" s="616"/>
    </row>
    <row r="281" spans="1:3">
      <c r="A281" s="616"/>
      <c r="B281" s="616"/>
      <c r="C281" s="616"/>
    </row>
    <row r="282" spans="1:3">
      <c r="A282" s="616"/>
      <c r="B282" s="616"/>
      <c r="C282" s="616"/>
    </row>
    <row r="283" spans="1:3">
      <c r="A283" s="616"/>
      <c r="B283" s="616"/>
      <c r="C283" s="616"/>
    </row>
    <row r="284" spans="1:3">
      <c r="A284" s="616"/>
      <c r="B284" s="616"/>
      <c r="C284" s="616"/>
    </row>
    <row r="285" spans="1:3">
      <c r="A285" s="616"/>
      <c r="B285" s="616"/>
      <c r="C285" s="616"/>
    </row>
    <row r="286" spans="1:3">
      <c r="A286" s="616"/>
      <c r="B286" s="616"/>
      <c r="C286" s="616"/>
    </row>
    <row r="287" spans="1:3">
      <c r="A287" s="616"/>
      <c r="B287" s="616"/>
      <c r="C287" s="616"/>
    </row>
    <row r="288" spans="1:3">
      <c r="A288" s="616"/>
      <c r="B288" s="616"/>
      <c r="C288" s="616"/>
    </row>
    <row r="289" spans="1:3">
      <c r="A289" s="616"/>
      <c r="B289" s="616"/>
      <c r="C289" s="616"/>
    </row>
    <row r="290" spans="1:3">
      <c r="A290" s="616"/>
      <c r="B290" s="616"/>
      <c r="C290" s="616"/>
    </row>
    <row r="291" spans="1:3">
      <c r="A291" s="616"/>
      <c r="B291" s="616"/>
      <c r="C291" s="616"/>
    </row>
    <row r="292" spans="1:3">
      <c r="A292" s="616"/>
      <c r="B292" s="616"/>
      <c r="C292" s="616"/>
    </row>
    <row r="293" spans="1:3">
      <c r="A293" s="616"/>
      <c r="B293" s="616"/>
      <c r="C293" s="616"/>
    </row>
    <row r="294" spans="1:3">
      <c r="A294" s="616"/>
      <c r="B294" s="616"/>
      <c r="C294" s="616"/>
    </row>
    <row r="295" spans="1:3">
      <c r="A295" s="616"/>
      <c r="B295" s="616"/>
      <c r="C295" s="616"/>
    </row>
    <row r="296" spans="1:3">
      <c r="A296" s="616"/>
      <c r="B296" s="616"/>
      <c r="C296" s="616"/>
    </row>
    <row r="297" spans="1:3">
      <c r="A297" s="616"/>
      <c r="B297" s="616"/>
      <c r="C297" s="616"/>
    </row>
    <row r="298" spans="1:3">
      <c r="A298" s="616"/>
      <c r="B298" s="616"/>
      <c r="C298" s="616"/>
    </row>
    <row r="299" spans="1:3">
      <c r="A299" s="616"/>
      <c r="B299" s="616"/>
      <c r="C299" s="616"/>
    </row>
    <row r="300" spans="1:3">
      <c r="A300" s="616"/>
      <c r="B300" s="616"/>
      <c r="C300" s="616"/>
    </row>
    <row r="301" spans="1:3">
      <c r="A301" s="616"/>
      <c r="B301" s="616"/>
      <c r="C301" s="616"/>
    </row>
    <row r="302" spans="1:3">
      <c r="A302" s="616"/>
      <c r="B302" s="616"/>
      <c r="C302" s="616"/>
    </row>
    <row r="303" spans="1:3">
      <c r="A303" s="616"/>
      <c r="B303" s="616"/>
      <c r="C303" s="616"/>
    </row>
    <row r="304" spans="1:3">
      <c r="A304" s="616"/>
      <c r="B304" s="616"/>
      <c r="C304" s="616"/>
    </row>
    <row r="305" spans="1:3">
      <c r="A305" s="616"/>
      <c r="B305" s="616"/>
      <c r="C305" s="616"/>
    </row>
    <row r="306" spans="1:3">
      <c r="A306" s="616"/>
      <c r="B306" s="616"/>
      <c r="C306" s="616"/>
    </row>
    <row r="307" spans="1:3">
      <c r="A307" s="616"/>
      <c r="B307" s="616"/>
      <c r="C307" s="616"/>
    </row>
    <row r="308" spans="1:3">
      <c r="A308" s="616"/>
      <c r="B308" s="616"/>
      <c r="C308" s="616"/>
    </row>
    <row r="309" spans="1:3">
      <c r="A309" s="616"/>
      <c r="B309" s="616"/>
      <c r="C309" s="616"/>
    </row>
    <row r="310" spans="1:3">
      <c r="A310" s="616"/>
      <c r="B310" s="616"/>
      <c r="C310" s="616"/>
    </row>
    <row r="311" spans="1:3">
      <c r="A311" s="616"/>
      <c r="B311" s="616"/>
      <c r="C311" s="616"/>
    </row>
    <row r="312" spans="1:3">
      <c r="A312" s="616"/>
      <c r="B312" s="616"/>
      <c r="C312" s="616"/>
    </row>
    <row r="313" spans="1:3">
      <c r="A313" s="616"/>
      <c r="B313" s="616"/>
      <c r="C313" s="616"/>
    </row>
    <row r="314" spans="1:3">
      <c r="A314" s="616"/>
      <c r="B314" s="616"/>
      <c r="C314" s="616"/>
    </row>
    <row r="315" spans="1:3">
      <c r="A315" s="616"/>
      <c r="B315" s="616"/>
      <c r="C315" s="616"/>
    </row>
    <row r="316" spans="1:3">
      <c r="A316" s="616"/>
      <c r="B316" s="616"/>
      <c r="C316" s="616"/>
    </row>
    <row r="317" spans="1:3">
      <c r="A317" s="616"/>
      <c r="B317" s="616"/>
      <c r="C317" s="616"/>
    </row>
    <row r="318" spans="1:3">
      <c r="A318" s="616"/>
      <c r="B318" s="616"/>
      <c r="C318" s="616"/>
    </row>
    <row r="319" spans="1:3">
      <c r="A319" s="616"/>
      <c r="B319" s="616"/>
      <c r="C319" s="616"/>
    </row>
    <row r="320" spans="1:3">
      <c r="A320" s="616"/>
      <c r="B320" s="616"/>
      <c r="C320" s="616"/>
    </row>
    <row r="321" spans="1:3">
      <c r="A321" s="616"/>
      <c r="B321" s="616"/>
      <c r="C321" s="616"/>
    </row>
    <row r="322" spans="1:3">
      <c r="A322" s="616"/>
      <c r="B322" s="616"/>
      <c r="C322" s="616"/>
    </row>
    <row r="323" spans="1:3">
      <c r="A323" s="616"/>
      <c r="B323" s="616"/>
      <c r="C323" s="616"/>
    </row>
    <row r="324" spans="1:3">
      <c r="A324" s="616"/>
      <c r="B324" s="616"/>
      <c r="C324" s="616"/>
    </row>
    <row r="325" spans="1:3">
      <c r="A325" s="616"/>
      <c r="B325" s="616"/>
      <c r="C325" s="616"/>
    </row>
    <row r="326" spans="1:3">
      <c r="A326" s="616"/>
      <c r="B326" s="616"/>
      <c r="C326" s="616"/>
    </row>
    <row r="327" spans="1:3">
      <c r="A327" s="616"/>
      <c r="B327" s="616"/>
      <c r="C327" s="616"/>
    </row>
    <row r="328" spans="1:3">
      <c r="A328" s="616"/>
      <c r="B328" s="616"/>
      <c r="C328" s="616"/>
    </row>
    <row r="329" spans="1:3">
      <c r="A329" s="616"/>
      <c r="B329" s="616"/>
      <c r="C329" s="616"/>
    </row>
    <row r="330" spans="1:3">
      <c r="A330" s="616"/>
      <c r="B330" s="616"/>
      <c r="C330" s="616"/>
    </row>
    <row r="331" spans="1:3">
      <c r="A331" s="616"/>
      <c r="B331" s="616"/>
      <c r="C331" s="616"/>
    </row>
    <row r="332" spans="1:3">
      <c r="A332" s="616"/>
      <c r="B332" s="616"/>
      <c r="C332" s="616"/>
    </row>
    <row r="333" spans="1:3">
      <c r="A333" s="616"/>
      <c r="B333" s="616"/>
      <c r="C333" s="616"/>
    </row>
    <row r="334" spans="1:3">
      <c r="A334" s="616"/>
      <c r="B334" s="616"/>
      <c r="C334" s="616"/>
    </row>
    <row r="335" spans="1:3">
      <c r="A335" s="616"/>
      <c r="B335" s="616"/>
      <c r="C335" s="616"/>
    </row>
    <row r="336" spans="1:3">
      <c r="A336" s="616"/>
      <c r="B336" s="616"/>
      <c r="C336" s="616"/>
    </row>
    <row r="337" spans="1:3">
      <c r="A337" s="616"/>
      <c r="B337" s="616"/>
      <c r="C337" s="616"/>
    </row>
    <row r="338" spans="1:3">
      <c r="A338" s="616"/>
      <c r="B338" s="616"/>
      <c r="C338" s="616"/>
    </row>
    <row r="339" spans="1:3">
      <c r="A339" s="616"/>
      <c r="B339" s="616"/>
      <c r="C339" s="616"/>
    </row>
    <row r="340" spans="1:3">
      <c r="A340" s="616"/>
      <c r="B340" s="616"/>
      <c r="C340" s="616"/>
    </row>
    <row r="341" spans="1:3">
      <c r="A341" s="616"/>
      <c r="B341" s="616"/>
      <c r="C341" s="616"/>
    </row>
    <row r="342" spans="1:3">
      <c r="A342" s="616"/>
      <c r="B342" s="616"/>
      <c r="C342" s="616"/>
    </row>
    <row r="343" spans="1:3">
      <c r="A343" s="616"/>
      <c r="B343" s="616"/>
      <c r="C343" s="616"/>
    </row>
    <row r="344" spans="1:3">
      <c r="A344" s="616"/>
      <c r="B344" s="616"/>
      <c r="C344" s="616"/>
    </row>
    <row r="345" spans="1:3">
      <c r="A345" s="616"/>
      <c r="B345" s="616"/>
      <c r="C345" s="616"/>
    </row>
    <row r="346" spans="1:3">
      <c r="A346" s="616"/>
      <c r="B346" s="616"/>
      <c r="C346" s="616"/>
    </row>
    <row r="347" spans="1:3">
      <c r="A347" s="616"/>
      <c r="B347" s="616"/>
      <c r="C347" s="616"/>
    </row>
    <row r="348" spans="1:3">
      <c r="A348" s="616"/>
      <c r="B348" s="616"/>
      <c r="C348" s="616"/>
    </row>
    <row r="349" spans="1:3">
      <c r="A349" s="616"/>
      <c r="B349" s="616"/>
      <c r="C349" s="616"/>
    </row>
    <row r="350" spans="1:3">
      <c r="A350" s="616"/>
      <c r="B350" s="616"/>
      <c r="C350" s="616"/>
    </row>
    <row r="351" spans="1:3">
      <c r="A351" s="616"/>
      <c r="B351" s="616"/>
      <c r="C351" s="616"/>
    </row>
    <row r="352" spans="1:3">
      <c r="A352" s="616"/>
      <c r="B352" s="616"/>
      <c r="C352" s="616"/>
    </row>
    <row r="353" spans="1:3">
      <c r="A353" s="616"/>
      <c r="B353" s="616"/>
      <c r="C353" s="616"/>
    </row>
    <row r="354" spans="1:3">
      <c r="A354" s="616"/>
      <c r="B354" s="616"/>
      <c r="C354" s="616"/>
    </row>
    <row r="355" spans="1:3">
      <c r="A355" s="616"/>
      <c r="B355" s="616"/>
      <c r="C355" s="616"/>
    </row>
    <row r="356" spans="1:3">
      <c r="A356" s="616"/>
      <c r="B356" s="616"/>
      <c r="C356" s="616"/>
    </row>
    <row r="357" spans="1:3">
      <c r="A357" s="616"/>
      <c r="B357" s="616"/>
      <c r="C357" s="616"/>
    </row>
    <row r="358" spans="1:3">
      <c r="A358" s="616"/>
      <c r="B358" s="616"/>
      <c r="C358" s="616"/>
    </row>
    <row r="359" spans="1:3">
      <c r="A359" s="616"/>
      <c r="B359" s="616"/>
      <c r="C359" s="616"/>
    </row>
    <row r="360" spans="1:3">
      <c r="A360" s="616"/>
      <c r="B360" s="616"/>
      <c r="C360" s="616"/>
    </row>
    <row r="361" spans="1:3">
      <c r="A361" s="616"/>
      <c r="B361" s="616"/>
      <c r="C361" s="616"/>
    </row>
    <row r="362" spans="1:3">
      <c r="A362" s="616"/>
      <c r="B362" s="616"/>
      <c r="C362" s="616"/>
    </row>
    <row r="363" spans="1:3">
      <c r="A363" s="616"/>
      <c r="B363" s="616"/>
      <c r="C363" s="616"/>
    </row>
    <row r="364" spans="1:3">
      <c r="A364" s="616"/>
      <c r="B364" s="616"/>
      <c r="C364" s="616"/>
    </row>
    <row r="365" spans="1:3">
      <c r="A365" s="616"/>
      <c r="B365" s="616"/>
      <c r="C365" s="616"/>
    </row>
    <row r="366" spans="1:3">
      <c r="A366" s="616"/>
      <c r="B366" s="616"/>
      <c r="C366" s="616"/>
    </row>
    <row r="367" spans="1:3">
      <c r="A367" s="616"/>
      <c r="B367" s="616"/>
      <c r="C367" s="616"/>
    </row>
    <row r="368" spans="1:3">
      <c r="A368" s="616"/>
      <c r="B368" s="616"/>
      <c r="C368" s="616"/>
    </row>
    <row r="369" spans="1:3">
      <c r="A369" s="616"/>
      <c r="B369" s="616"/>
      <c r="C369" s="616"/>
    </row>
    <row r="370" spans="1:3">
      <c r="A370" s="616"/>
      <c r="B370" s="616"/>
      <c r="C370" s="616"/>
    </row>
    <row r="371" spans="1:3">
      <c r="A371" s="616"/>
      <c r="B371" s="616"/>
      <c r="C371" s="616"/>
    </row>
    <row r="372" spans="1:3">
      <c r="A372" s="616"/>
      <c r="B372" s="616"/>
      <c r="C372" s="616"/>
    </row>
    <row r="373" spans="1:3">
      <c r="A373" s="616"/>
      <c r="B373" s="616"/>
      <c r="C373" s="616"/>
    </row>
    <row r="374" spans="1:3">
      <c r="A374" s="616"/>
      <c r="B374" s="616"/>
      <c r="C374" s="616"/>
    </row>
    <row r="375" spans="1:3">
      <c r="A375" s="616"/>
      <c r="B375" s="616"/>
      <c r="C375" s="616"/>
    </row>
    <row r="376" spans="1:3">
      <c r="A376" s="616"/>
      <c r="B376" s="616"/>
      <c r="C376" s="616"/>
    </row>
    <row r="377" spans="1:3">
      <c r="A377" s="616"/>
      <c r="B377" s="616"/>
      <c r="C377" s="616"/>
    </row>
    <row r="378" spans="1:3">
      <c r="A378" s="616"/>
      <c r="B378" s="616"/>
      <c r="C378" s="616"/>
    </row>
    <row r="379" spans="1:3">
      <c r="A379" s="616"/>
      <c r="B379" s="616"/>
      <c r="C379" s="616"/>
    </row>
    <row r="380" spans="1:3">
      <c r="A380" s="616"/>
      <c r="B380" s="616"/>
      <c r="C380" s="616"/>
    </row>
    <row r="381" spans="1:3">
      <c r="A381" s="616"/>
      <c r="B381" s="616"/>
      <c r="C381" s="616"/>
    </row>
    <row r="382" spans="1:3">
      <c r="A382" s="616"/>
      <c r="B382" s="616"/>
      <c r="C382" s="616"/>
    </row>
    <row r="383" spans="1:3">
      <c r="A383" s="616"/>
      <c r="B383" s="616"/>
      <c r="C383" s="616"/>
    </row>
    <row r="427" spans="1:9">
      <c r="A427" s="683"/>
      <c r="B427" s="683"/>
      <c r="C427" s="683"/>
      <c r="D427" s="683"/>
      <c r="E427" s="683"/>
      <c r="F427" s="683"/>
      <c r="G427" s="683"/>
      <c r="H427" s="683"/>
      <c r="I427" s="683"/>
    </row>
    <row r="428" spans="1:9">
      <c r="A428" s="683"/>
      <c r="B428" s="683"/>
      <c r="C428" s="683"/>
      <c r="D428" s="683"/>
      <c r="E428" s="683"/>
      <c r="F428" s="683"/>
      <c r="G428" s="683"/>
      <c r="H428" s="683"/>
      <c r="I428" s="683"/>
    </row>
    <row r="429" spans="1:9">
      <c r="A429" s="683"/>
      <c r="B429" s="683"/>
      <c r="C429" s="683"/>
      <c r="D429" s="683"/>
      <c r="E429" s="683"/>
      <c r="F429" s="683"/>
      <c r="G429" s="683"/>
      <c r="H429" s="683"/>
      <c r="I429" s="683"/>
    </row>
    <row r="430" spans="1:9">
      <c r="A430" s="683"/>
      <c r="B430" s="683"/>
      <c r="C430" s="683"/>
      <c r="D430" s="683"/>
      <c r="E430" s="683"/>
      <c r="F430" s="683"/>
      <c r="G430" s="683"/>
      <c r="H430" s="683"/>
      <c r="I430" s="683"/>
    </row>
    <row r="431" spans="1:9">
      <c r="A431" s="683"/>
      <c r="B431" s="683"/>
      <c r="C431" s="683"/>
      <c r="D431" s="683"/>
      <c r="E431" s="683"/>
      <c r="F431" s="683"/>
      <c r="G431" s="683"/>
      <c r="H431" s="683"/>
      <c r="I431" s="683"/>
    </row>
    <row r="432" spans="1:9">
      <c r="A432" s="683"/>
      <c r="B432" s="683"/>
      <c r="C432" s="683"/>
      <c r="D432" s="683"/>
      <c r="E432" s="683"/>
      <c r="F432" s="683"/>
      <c r="G432" s="683"/>
      <c r="H432" s="683"/>
      <c r="I432" s="683"/>
    </row>
    <row r="433" spans="1:9">
      <c r="A433" s="683"/>
      <c r="B433" s="683"/>
      <c r="C433" s="683"/>
      <c r="D433" s="683"/>
      <c r="E433" s="683"/>
      <c r="F433" s="683"/>
      <c r="G433" s="683"/>
      <c r="H433" s="683"/>
      <c r="I433" s="683"/>
    </row>
    <row r="434" spans="1:9">
      <c r="A434" s="683"/>
      <c r="B434" s="683"/>
      <c r="C434" s="683"/>
      <c r="D434" s="683"/>
      <c r="E434" s="683"/>
      <c r="F434" s="683"/>
      <c r="G434" s="683"/>
      <c r="H434" s="683"/>
      <c r="I434" s="683"/>
    </row>
    <row r="435" spans="1:9">
      <c r="A435" s="683"/>
      <c r="B435" s="683"/>
      <c r="C435" s="683"/>
      <c r="D435" s="683"/>
      <c r="E435" s="683"/>
      <c r="F435" s="683"/>
      <c r="G435" s="683"/>
      <c r="H435" s="683"/>
      <c r="I435" s="683"/>
    </row>
    <row r="436" spans="1:9">
      <c r="A436" s="683"/>
      <c r="B436" s="683"/>
      <c r="C436" s="683"/>
      <c r="D436" s="683"/>
      <c r="E436" s="683"/>
      <c r="F436" s="683"/>
      <c r="G436" s="683"/>
      <c r="H436" s="683"/>
      <c r="I436" s="683"/>
    </row>
    <row r="437" spans="1:9">
      <c r="A437" s="683"/>
      <c r="B437" s="683"/>
      <c r="C437" s="683"/>
      <c r="D437" s="683"/>
      <c r="E437" s="683"/>
      <c r="F437" s="683"/>
      <c r="G437" s="683"/>
      <c r="H437" s="683"/>
      <c r="I437" s="683"/>
    </row>
    <row r="438" spans="1:9">
      <c r="A438" s="683"/>
      <c r="B438" s="683"/>
      <c r="C438" s="683"/>
      <c r="D438" s="683"/>
      <c r="E438" s="683"/>
      <c r="F438" s="683"/>
      <c r="G438" s="683"/>
      <c r="H438" s="683"/>
      <c r="I438" s="683"/>
    </row>
    <row r="439" spans="1:9">
      <c r="A439" s="683"/>
      <c r="B439" s="683"/>
      <c r="C439" s="683"/>
      <c r="D439" s="683"/>
      <c r="E439" s="683"/>
      <c r="F439" s="683"/>
      <c r="G439" s="683"/>
      <c r="H439" s="683"/>
      <c r="I439" s="683"/>
    </row>
    <row r="440" spans="1:9">
      <c r="A440" s="683"/>
      <c r="B440" s="683"/>
      <c r="C440" s="683"/>
      <c r="D440" s="683"/>
      <c r="E440" s="683"/>
      <c r="F440" s="683"/>
      <c r="G440" s="683"/>
      <c r="H440" s="683"/>
      <c r="I440" s="683"/>
    </row>
    <row r="441" spans="1:9">
      <c r="A441" s="683"/>
      <c r="B441" s="683"/>
      <c r="C441" s="683"/>
      <c r="D441" s="683"/>
      <c r="E441" s="683"/>
      <c r="F441" s="683"/>
      <c r="G441" s="683"/>
      <c r="H441" s="683"/>
      <c r="I441" s="683"/>
    </row>
    <row r="442" spans="1:9">
      <c r="A442" s="683"/>
      <c r="B442" s="683"/>
      <c r="C442" s="683"/>
      <c r="D442" s="683"/>
      <c r="E442" s="683"/>
      <c r="F442" s="683"/>
      <c r="G442" s="683"/>
      <c r="H442" s="683"/>
      <c r="I442" s="683"/>
    </row>
    <row r="443" spans="1:9">
      <c r="A443" s="683"/>
      <c r="B443" s="683"/>
      <c r="C443" s="683"/>
      <c r="D443" s="683"/>
      <c r="E443" s="683"/>
      <c r="F443" s="683"/>
      <c r="G443" s="683"/>
      <c r="H443" s="683"/>
      <c r="I443" s="683"/>
    </row>
    <row r="444" spans="1:9">
      <c r="A444" s="683"/>
      <c r="B444" s="683"/>
      <c r="C444" s="683"/>
      <c r="D444" s="683"/>
      <c r="E444" s="683"/>
      <c r="F444" s="683"/>
      <c r="G444" s="683"/>
      <c r="H444" s="683"/>
      <c r="I444" s="683"/>
    </row>
    <row r="445" spans="1:9">
      <c r="A445" s="683"/>
      <c r="B445" s="683"/>
      <c r="C445" s="683"/>
      <c r="D445" s="683"/>
      <c r="E445" s="683"/>
      <c r="F445" s="683"/>
      <c r="G445" s="683"/>
      <c r="H445" s="683"/>
      <c r="I445" s="683"/>
    </row>
    <row r="446" spans="1:9">
      <c r="A446" s="683"/>
      <c r="B446" s="683"/>
      <c r="C446" s="683"/>
      <c r="D446" s="683"/>
      <c r="E446" s="683"/>
      <c r="F446" s="683"/>
      <c r="G446" s="683"/>
      <c r="H446" s="683"/>
      <c r="I446" s="683"/>
    </row>
    <row r="447" spans="1:9">
      <c r="A447" s="683"/>
      <c r="B447" s="683"/>
      <c r="C447" s="683"/>
      <c r="D447" s="683"/>
      <c r="E447" s="683"/>
      <c r="F447" s="683"/>
      <c r="G447" s="683"/>
      <c r="H447" s="683"/>
      <c r="I447" s="683"/>
    </row>
    <row r="448" spans="1:9">
      <c r="A448" s="683"/>
      <c r="B448" s="683"/>
      <c r="C448" s="683"/>
      <c r="D448" s="683"/>
      <c r="E448" s="683"/>
      <c r="F448" s="683"/>
      <c r="G448" s="683"/>
      <c r="H448" s="683"/>
      <c r="I448" s="683"/>
    </row>
    <row r="449" spans="1:9">
      <c r="A449" s="683"/>
      <c r="B449" s="683"/>
      <c r="C449" s="683"/>
      <c r="D449" s="683"/>
      <c r="E449" s="683"/>
      <c r="F449" s="683"/>
      <c r="G449" s="683"/>
      <c r="H449" s="683"/>
      <c r="I449" s="683"/>
    </row>
    <row r="450" spans="1:9">
      <c r="A450" s="683"/>
      <c r="B450" s="683"/>
      <c r="C450" s="683"/>
      <c r="D450" s="683"/>
      <c r="E450" s="683"/>
      <c r="F450" s="683"/>
      <c r="G450" s="683"/>
      <c r="H450" s="683"/>
      <c r="I450" s="683"/>
    </row>
    <row r="451" spans="1:9">
      <c r="A451" s="683"/>
      <c r="B451" s="683"/>
      <c r="C451" s="683"/>
      <c r="D451" s="683"/>
      <c r="E451" s="683"/>
      <c r="F451" s="683"/>
      <c r="G451" s="683"/>
      <c r="H451" s="683"/>
      <c r="I451" s="683"/>
    </row>
    <row r="452" spans="1:9">
      <c r="A452" s="683"/>
      <c r="B452" s="683"/>
      <c r="C452" s="683"/>
      <c r="D452" s="683"/>
      <c r="E452" s="683"/>
      <c r="F452" s="683"/>
      <c r="G452" s="683"/>
      <c r="H452" s="683"/>
      <c r="I452" s="683"/>
    </row>
    <row r="453" spans="1:9">
      <c r="A453" s="683"/>
      <c r="B453" s="683"/>
      <c r="C453" s="683"/>
      <c r="D453" s="683"/>
      <c r="E453" s="683"/>
      <c r="F453" s="683"/>
      <c r="G453" s="683"/>
      <c r="H453" s="683"/>
      <c r="I453" s="683"/>
    </row>
    <row r="454" spans="1:9">
      <c r="A454" s="683"/>
      <c r="B454" s="683"/>
      <c r="C454" s="683"/>
      <c r="D454" s="683"/>
      <c r="E454" s="683"/>
      <c r="F454" s="683"/>
      <c r="G454" s="683"/>
      <c r="H454" s="683"/>
      <c r="I454" s="683"/>
    </row>
    <row r="455" spans="1:9">
      <c r="A455" s="683"/>
      <c r="B455" s="683"/>
      <c r="C455" s="683"/>
      <c r="D455" s="683"/>
      <c r="E455" s="683"/>
      <c r="F455" s="683"/>
      <c r="G455" s="683"/>
      <c r="H455" s="683"/>
      <c r="I455" s="683"/>
    </row>
    <row r="456" spans="1:9">
      <c r="A456" s="683"/>
      <c r="B456" s="683"/>
      <c r="C456" s="683"/>
      <c r="D456" s="683"/>
      <c r="E456" s="683"/>
      <c r="F456" s="683"/>
      <c r="G456" s="683"/>
      <c r="H456" s="683"/>
      <c r="I456" s="683"/>
    </row>
    <row r="457" spans="1:9">
      <c r="A457" s="683"/>
      <c r="B457" s="683"/>
      <c r="C457" s="683"/>
      <c r="D457" s="683"/>
      <c r="E457" s="683"/>
      <c r="F457" s="683"/>
      <c r="G457" s="683"/>
      <c r="H457" s="683"/>
      <c r="I457" s="683"/>
    </row>
    <row r="458" spans="1:9">
      <c r="A458" s="683"/>
      <c r="B458" s="683"/>
      <c r="C458" s="683"/>
      <c r="D458" s="683"/>
      <c r="E458" s="683"/>
      <c r="F458" s="683"/>
      <c r="G458" s="683"/>
      <c r="H458" s="683"/>
      <c r="I458" s="683"/>
    </row>
    <row r="459" spans="1:9">
      <c r="A459" s="683"/>
      <c r="B459" s="683"/>
      <c r="C459" s="683"/>
      <c r="D459" s="683"/>
      <c r="E459" s="683"/>
      <c r="F459" s="683"/>
      <c r="G459" s="683"/>
      <c r="H459" s="683"/>
      <c r="I459" s="683"/>
    </row>
    <row r="460" spans="1:9">
      <c r="A460" s="683"/>
      <c r="B460" s="683"/>
      <c r="C460" s="683"/>
      <c r="D460" s="683"/>
      <c r="E460" s="683"/>
      <c r="F460" s="683"/>
      <c r="G460" s="683"/>
      <c r="H460" s="683"/>
      <c r="I460" s="683"/>
    </row>
    <row r="461" spans="1:9">
      <c r="A461" s="683"/>
      <c r="B461" s="683"/>
      <c r="C461" s="683"/>
      <c r="D461" s="683"/>
      <c r="E461" s="683"/>
      <c r="F461" s="683"/>
      <c r="G461" s="683"/>
      <c r="H461" s="683"/>
      <c r="I461" s="683"/>
    </row>
    <row r="462" spans="1:9">
      <c r="A462" s="683"/>
      <c r="B462" s="683"/>
      <c r="C462" s="683"/>
      <c r="D462" s="683"/>
      <c r="E462" s="683"/>
      <c r="F462" s="683"/>
      <c r="G462" s="683"/>
      <c r="H462" s="683"/>
      <c r="I462" s="683"/>
    </row>
    <row r="463" spans="1:9">
      <c r="A463" s="683"/>
      <c r="B463" s="683"/>
      <c r="C463" s="683"/>
      <c r="D463" s="683"/>
      <c r="E463" s="683"/>
      <c r="F463" s="683"/>
      <c r="G463" s="683"/>
      <c r="H463" s="683"/>
      <c r="I463" s="683"/>
    </row>
  </sheetData>
  <mergeCells count="5">
    <mergeCell ref="A141:D141"/>
    <mergeCell ref="W1:AA1"/>
    <mergeCell ref="W4:AA4"/>
    <mergeCell ref="A28:D28"/>
    <mergeCell ref="E1:H1"/>
  </mergeCells>
  <printOptions headings="1" gridLines="1"/>
  <pageMargins left="0.7" right="0.7" top="0.75" bottom="0.75" header="0.3" footer="0.3"/>
  <pageSetup paperSize="9" scale="69" fitToHeight="0" orientation="landscape" r:id="rId1"/>
  <rowBreaks count="5" manualBreakCount="5">
    <brk id="38" max="21" man="1"/>
    <brk id="70" max="21" man="1"/>
    <brk id="111" max="21" man="1"/>
    <brk id="137" max="21" man="1"/>
    <brk id="182" max="21" man="1"/>
  </rowBreaks>
  <ignoredErrors>
    <ignoredError sqref="I33 I38 I49 H69 I88 I96 I105 M146 M151 M162 L182 M201 M209 M218 L221:M221"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B91"/>
  <sheetViews>
    <sheetView workbookViewId="0">
      <selection sqref="A1:D1"/>
    </sheetView>
  </sheetViews>
  <sheetFormatPr defaultRowHeight="12.75"/>
  <cols>
    <col min="1" max="1" width="2.85546875" customWidth="1"/>
    <col min="2" max="2" width="23.28515625" customWidth="1"/>
    <col min="3" max="4" width="3.28515625" customWidth="1"/>
    <col min="5" max="5" width="6.28515625" customWidth="1"/>
    <col min="6" max="28" width="8.85546875" customWidth="1"/>
  </cols>
  <sheetData>
    <row r="1" spans="1:28" ht="90" customHeight="1">
      <c r="A1" s="1624" t="s">
        <v>193</v>
      </c>
      <c r="B1" s="1624"/>
      <c r="C1" s="1624"/>
      <c r="D1" s="1624"/>
      <c r="E1" s="947" t="e">
        <f>#REF!</f>
        <v>#REF!</v>
      </c>
      <c r="F1" s="1618" t="e">
        <f>#REF!</f>
        <v>#REF!</v>
      </c>
      <c r="G1" s="1618"/>
      <c r="I1" s="1625" t="s">
        <v>487</v>
      </c>
      <c r="J1" s="1625"/>
      <c r="K1" s="1625"/>
      <c r="L1" s="1619">
        <f ca="1">NOW()</f>
        <v>44595.448909606479</v>
      </c>
      <c r="M1" s="1619"/>
      <c r="N1" s="1619"/>
      <c r="O1" s="761"/>
      <c r="P1" s="684"/>
      <c r="Q1" s="684"/>
      <c r="R1" s="684"/>
      <c r="S1" s="684"/>
      <c r="T1" s="684"/>
      <c r="U1" s="684"/>
      <c r="V1" s="684"/>
      <c r="W1" s="684"/>
      <c r="X1" s="684"/>
      <c r="Y1" s="761"/>
      <c r="Z1" s="761"/>
      <c r="AA1" s="761" t="e">
        <f>#REF!</f>
        <v>#REF!</v>
      </c>
      <c r="AB1" s="857"/>
    </row>
    <row r="2" spans="1:28">
      <c r="A2" s="811" t="s">
        <v>488</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row>
    <row r="3" spans="1:28">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604"/>
    </row>
    <row r="4" spans="1:28">
      <c r="A4" s="34">
        <v>1</v>
      </c>
      <c r="B4" s="613" t="s">
        <v>489</v>
      </c>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row>
    <row r="6" spans="1:28">
      <c r="A6" s="34">
        <v>2</v>
      </c>
      <c r="B6" s="863" t="s">
        <v>490</v>
      </c>
      <c r="C6" s="34"/>
      <c r="D6" s="34"/>
      <c r="E6" s="46" t="s">
        <v>491</v>
      </c>
      <c r="F6" s="46"/>
      <c r="G6" s="46"/>
      <c r="H6" s="34"/>
      <c r="I6" s="34"/>
      <c r="J6" s="34"/>
      <c r="K6" s="34"/>
      <c r="L6" s="34"/>
      <c r="M6" s="45"/>
      <c r="N6" s="45"/>
      <c r="O6" s="45" t="e">
        <f>' 11-BU Perf'!#REF!</f>
        <v>#REF!</v>
      </c>
      <c r="P6" s="45" t="e">
        <f>' 11-BU Perf'!#REF!</f>
        <v>#REF!</v>
      </c>
      <c r="Q6" s="45" t="e">
        <f>' 11-BU Perf'!#REF!</f>
        <v>#REF!</v>
      </c>
      <c r="R6" s="45" t="e">
        <f>' 11-BU Perf'!#REF!</f>
        <v>#REF!</v>
      </c>
      <c r="S6" s="45" t="e">
        <f>' 11-BU Perf'!#REF!</f>
        <v>#REF!</v>
      </c>
      <c r="T6" s="45" t="e">
        <f>' 11-BU Perf'!#REF!</f>
        <v>#REF!</v>
      </c>
      <c r="U6" s="34"/>
      <c r="V6" s="34"/>
      <c r="W6" s="34"/>
      <c r="X6" s="34"/>
      <c r="Y6" s="34"/>
      <c r="Z6" s="34"/>
      <c r="AA6" s="34"/>
      <c r="AB6" s="34"/>
    </row>
    <row r="7" spans="1:28">
      <c r="A7" s="34"/>
      <c r="B7" s="613"/>
      <c r="C7" s="34"/>
      <c r="D7" s="34"/>
      <c r="E7" s="613"/>
      <c r="F7" s="613"/>
      <c r="G7" s="613"/>
      <c r="H7" s="34"/>
      <c r="I7" s="34"/>
      <c r="J7" s="34"/>
      <c r="K7" s="34"/>
      <c r="L7" s="34"/>
      <c r="M7" s="34"/>
      <c r="N7" s="34"/>
      <c r="O7" s="34"/>
      <c r="P7" s="34"/>
      <c r="Q7" s="34"/>
      <c r="R7" s="34"/>
      <c r="S7" s="34"/>
      <c r="T7" s="34"/>
      <c r="U7" s="34"/>
      <c r="V7" s="34"/>
      <c r="W7" s="34"/>
      <c r="X7" s="34"/>
      <c r="Y7" s="34"/>
      <c r="Z7" s="34"/>
      <c r="AA7" s="34"/>
      <c r="AB7" s="34"/>
    </row>
    <row r="8" spans="1:28">
      <c r="A8" s="34">
        <v>3</v>
      </c>
      <c r="B8" s="613" t="s">
        <v>492</v>
      </c>
      <c r="C8" s="34"/>
      <c r="D8" s="34"/>
      <c r="E8" s="46" t="s">
        <v>336</v>
      </c>
      <c r="F8" s="46"/>
      <c r="G8" s="46"/>
      <c r="H8" s="864">
        <f>'2_Inc-Stat'!H4</f>
        <v>0</v>
      </c>
      <c r="I8" s="34"/>
      <c r="J8" s="34"/>
      <c r="K8" s="34"/>
      <c r="L8" s="34"/>
      <c r="M8" s="864"/>
      <c r="N8" s="864"/>
      <c r="O8" s="864">
        <f>'2_Inc-Stat'!O10</f>
        <v>5511</v>
      </c>
      <c r="P8" s="864">
        <f>'2_Inc-Stat'!P10</f>
        <v>6595</v>
      </c>
      <c r="Q8" s="864">
        <f>'2_Inc-Stat'!Q10</f>
        <v>16463</v>
      </c>
      <c r="R8" s="864">
        <f>'2_Inc-Stat'!R10</f>
        <v>0</v>
      </c>
      <c r="S8" s="864">
        <f>'2_Inc-Stat'!S10</f>
        <v>0</v>
      </c>
      <c r="T8" s="864">
        <f>'2_Inc-Stat'!T10</f>
        <v>0</v>
      </c>
      <c r="U8" s="34"/>
      <c r="V8" s="34"/>
      <c r="W8" s="34"/>
      <c r="X8" s="34"/>
      <c r="Y8" s="34"/>
      <c r="Z8" s="34"/>
      <c r="AA8" s="34"/>
      <c r="AB8" s="34"/>
    </row>
    <row r="9" spans="1:28">
      <c r="A9" s="34"/>
      <c r="B9" s="739" t="s">
        <v>493</v>
      </c>
      <c r="C9" s="34"/>
      <c r="D9" s="34"/>
      <c r="E9" s="46" t="s">
        <v>43</v>
      </c>
      <c r="F9" s="34"/>
      <c r="G9" s="34"/>
      <c r="H9" s="34"/>
      <c r="I9" s="34"/>
      <c r="J9" s="34"/>
      <c r="K9" s="34"/>
      <c r="L9" s="34"/>
      <c r="M9" s="864"/>
      <c r="N9" s="864"/>
      <c r="O9" s="864"/>
      <c r="P9" s="864">
        <f t="shared" ref="P9" si="3">P8-O8</f>
        <v>1084</v>
      </c>
      <c r="Q9" s="864">
        <f t="shared" ref="Q9" si="4">Q8-P8</f>
        <v>9868</v>
      </c>
      <c r="R9" s="864">
        <f t="shared" ref="R9" si="5">R8-Q8</f>
        <v>-16463</v>
      </c>
      <c r="S9" s="864">
        <f t="shared" ref="S9" si="6">S8-R8</f>
        <v>0</v>
      </c>
      <c r="T9" s="864">
        <f t="shared" ref="T9" si="7">T8-S8</f>
        <v>0</v>
      </c>
      <c r="U9" s="34"/>
      <c r="V9" s="34"/>
      <c r="W9" s="34"/>
      <c r="X9" s="34"/>
      <c r="Y9" s="34"/>
      <c r="Z9" s="34"/>
      <c r="AA9" s="34"/>
      <c r="AB9" s="34"/>
    </row>
    <row r="10" spans="1:28">
      <c r="A10" s="34"/>
      <c r="B10" s="34" t="s">
        <v>494</v>
      </c>
      <c r="C10" s="34"/>
      <c r="D10" s="34"/>
      <c r="E10" s="34"/>
      <c r="F10" s="34"/>
      <c r="G10" s="34"/>
      <c r="H10" s="34"/>
      <c r="I10" s="34"/>
      <c r="J10" s="34"/>
      <c r="K10" s="34"/>
      <c r="L10" s="34"/>
      <c r="M10" s="522"/>
      <c r="N10" s="522"/>
      <c r="O10" s="522"/>
      <c r="P10" s="522">
        <f t="shared" ref="P10" si="8">P9/O8</f>
        <v>0.19669751406278352</v>
      </c>
      <c r="Q10" s="522">
        <f t="shared" ref="Q10" si="9">Q9/P8</f>
        <v>1.4962850644427597</v>
      </c>
      <c r="R10" s="522">
        <f t="shared" ref="R10" si="10">R9/Q8</f>
        <v>-1</v>
      </c>
      <c r="S10" s="522" t="e">
        <f t="shared" ref="S10" si="11">S9/R8</f>
        <v>#DIV/0!</v>
      </c>
      <c r="T10" s="522" t="e">
        <f t="shared" ref="T10" si="12">T9/S8</f>
        <v>#DIV/0!</v>
      </c>
      <c r="U10" s="34"/>
      <c r="V10" s="34"/>
      <c r="W10" s="34"/>
      <c r="X10" s="34"/>
      <c r="Y10" s="34"/>
      <c r="Z10" s="34"/>
      <c r="AA10" s="34"/>
      <c r="AB10" s="34"/>
    </row>
    <row r="11" spans="1:28">
      <c r="A11" s="34"/>
      <c r="B11" s="632"/>
      <c r="C11" s="34"/>
      <c r="D11" s="34"/>
      <c r="E11" s="34"/>
      <c r="F11" s="34"/>
      <c r="G11" s="34"/>
      <c r="H11" s="45"/>
      <c r="I11" s="34"/>
      <c r="J11" s="34"/>
      <c r="K11" s="34"/>
      <c r="L11" s="34"/>
      <c r="M11" s="522"/>
      <c r="N11" s="522"/>
      <c r="O11" s="522"/>
      <c r="P11" s="522"/>
      <c r="Q11" s="522"/>
      <c r="R11" s="522"/>
      <c r="S11" s="522"/>
      <c r="T11" s="522"/>
      <c r="U11" s="34"/>
      <c r="V11" s="34"/>
      <c r="W11" s="34"/>
      <c r="X11" s="34"/>
      <c r="Y11" s="34"/>
      <c r="Z11" s="34"/>
      <c r="AA11" s="34"/>
      <c r="AB11" s="34"/>
    </row>
    <row r="12" spans="1:28">
      <c r="A12" s="34">
        <v>4</v>
      </c>
      <c r="B12" s="769" t="s">
        <v>495</v>
      </c>
      <c r="C12" s="34"/>
      <c r="D12" s="34"/>
      <c r="E12" s="46" t="s">
        <v>336</v>
      </c>
      <c r="F12" s="46"/>
      <c r="G12" s="46"/>
      <c r="H12" s="45"/>
      <c r="I12" s="34"/>
      <c r="J12" s="34"/>
      <c r="K12" s="34"/>
      <c r="L12" s="34"/>
      <c r="M12" s="864"/>
      <c r="N12" s="864"/>
      <c r="O12" s="864"/>
      <c r="P12" s="864"/>
      <c r="Q12" s="864"/>
      <c r="R12" s="864"/>
      <c r="S12" s="865" t="e">
        <f>S8/S6</f>
        <v>#REF!</v>
      </c>
      <c r="T12" s="865" t="e">
        <f>T8/T6</f>
        <v>#REF!</v>
      </c>
      <c r="U12" s="34"/>
      <c r="V12" s="34"/>
      <c r="W12" s="34"/>
      <c r="X12" s="34"/>
      <c r="Y12" s="34"/>
      <c r="Z12" s="34"/>
      <c r="AA12" s="34"/>
      <c r="AB12" s="34"/>
    </row>
    <row r="13" spans="1:28">
      <c r="A13" s="34"/>
      <c r="B13" s="769"/>
      <c r="C13" s="34"/>
      <c r="D13" s="34"/>
      <c r="E13" s="46"/>
      <c r="F13" s="46"/>
      <c r="G13" s="46"/>
      <c r="H13" s="45"/>
      <c r="I13" s="34"/>
      <c r="J13" s="34"/>
      <c r="K13" s="34"/>
      <c r="L13" s="34"/>
      <c r="M13" s="864"/>
      <c r="N13" s="864"/>
      <c r="O13" s="864"/>
      <c r="P13" s="864"/>
      <c r="Q13" s="864"/>
      <c r="R13" s="864"/>
      <c r="S13" s="864"/>
      <c r="T13" s="864"/>
      <c r="U13" s="34"/>
      <c r="V13" s="34"/>
      <c r="W13" s="34"/>
      <c r="X13" s="34"/>
      <c r="Y13" s="34"/>
      <c r="Z13" s="34"/>
      <c r="AA13" s="34"/>
      <c r="AB13" s="34"/>
    </row>
    <row r="14" spans="1:28">
      <c r="A14" s="34">
        <v>5</v>
      </c>
      <c r="B14" s="769" t="s">
        <v>496</v>
      </c>
      <c r="C14" s="34"/>
      <c r="D14" s="34"/>
      <c r="E14" s="46" t="s">
        <v>433</v>
      </c>
      <c r="F14" s="46"/>
      <c r="G14" s="46"/>
      <c r="H14" s="45"/>
      <c r="I14" s="34"/>
      <c r="J14" s="34"/>
      <c r="K14" s="34"/>
      <c r="L14" s="34"/>
      <c r="M14" s="864"/>
      <c r="N14" s="864"/>
      <c r="O14" s="864"/>
      <c r="P14" s="864"/>
      <c r="Q14" s="864"/>
      <c r="R14" s="864"/>
      <c r="S14" s="864"/>
      <c r="T14" s="864"/>
      <c r="U14" s="34"/>
      <c r="V14" s="34"/>
      <c r="W14" s="34"/>
      <c r="X14" s="34"/>
      <c r="Y14" s="34"/>
      <c r="Z14" s="34"/>
      <c r="AA14" s="34"/>
      <c r="AB14" s="34"/>
    </row>
    <row r="15" spans="1:28">
      <c r="A15" s="34"/>
      <c r="B15" s="34"/>
      <c r="C15" s="34"/>
      <c r="D15" s="34"/>
      <c r="E15" s="34"/>
      <c r="F15" s="34"/>
      <c r="G15" s="34"/>
      <c r="H15" s="45"/>
      <c r="I15" s="34"/>
      <c r="J15" s="34"/>
      <c r="K15" s="34"/>
      <c r="L15" s="34"/>
      <c r="M15" s="864"/>
      <c r="N15" s="864"/>
      <c r="O15" s="864"/>
      <c r="P15" s="864"/>
      <c r="Q15" s="864"/>
      <c r="R15" s="864"/>
      <c r="S15" s="864"/>
      <c r="T15" s="864"/>
      <c r="U15" s="34"/>
      <c r="V15" s="34"/>
      <c r="W15" s="34"/>
      <c r="X15" s="34"/>
      <c r="Y15" s="34"/>
      <c r="Z15" s="34"/>
      <c r="AA15" s="34"/>
      <c r="AB15" s="34"/>
    </row>
    <row r="16" spans="1:28">
      <c r="A16" s="34">
        <v>6</v>
      </c>
      <c r="B16" s="613" t="s">
        <v>497</v>
      </c>
      <c r="C16" s="34"/>
      <c r="D16" s="34"/>
      <c r="E16" s="46" t="s">
        <v>336</v>
      </c>
      <c r="F16" s="34"/>
      <c r="G16" s="34"/>
      <c r="H16" s="34"/>
      <c r="I16" s="34"/>
      <c r="J16" s="34"/>
      <c r="K16" s="34"/>
      <c r="L16" s="34"/>
      <c r="M16" s="864"/>
      <c r="N16" s="864"/>
      <c r="O16" s="864" t="e">
        <f>#REF!</f>
        <v>#REF!</v>
      </c>
      <c r="P16" s="864" t="e">
        <f>#REF!</f>
        <v>#REF!</v>
      </c>
      <c r="Q16" s="864" t="e">
        <f>#REF!</f>
        <v>#REF!</v>
      </c>
      <c r="R16" s="864" t="e">
        <f>#REF!</f>
        <v>#REF!</v>
      </c>
      <c r="S16" s="864" t="e">
        <f>#REF!</f>
        <v>#REF!</v>
      </c>
      <c r="T16" s="864" t="e">
        <f>#REF!</f>
        <v>#REF!</v>
      </c>
      <c r="U16" s="34"/>
      <c r="V16" s="34"/>
      <c r="W16" s="34"/>
      <c r="X16" s="34"/>
      <c r="Y16" s="34"/>
      <c r="Z16" s="34"/>
      <c r="AA16" s="34"/>
      <c r="AB16" s="34"/>
    </row>
    <row r="17" spans="1:28">
      <c r="A17" s="34"/>
      <c r="B17" s="613"/>
      <c r="C17" s="34"/>
      <c r="D17" s="34"/>
      <c r="E17" s="34"/>
      <c r="F17" s="34"/>
      <c r="G17" s="34"/>
      <c r="H17" s="34"/>
      <c r="I17" s="34"/>
      <c r="J17" s="34"/>
      <c r="K17" s="34"/>
      <c r="L17" s="34"/>
      <c r="M17" s="864"/>
      <c r="N17" s="864"/>
      <c r="O17" s="864"/>
      <c r="P17" s="864"/>
      <c r="Q17" s="864"/>
      <c r="R17" s="864"/>
      <c r="S17" s="864"/>
      <c r="T17" s="864"/>
      <c r="U17" s="34"/>
      <c r="V17" s="34"/>
      <c r="W17" s="34"/>
      <c r="X17" s="34"/>
      <c r="Y17" s="34"/>
      <c r="Z17" s="34"/>
      <c r="AA17" s="34"/>
      <c r="AB17" s="34"/>
    </row>
    <row r="18" spans="1:28">
      <c r="A18" s="34">
        <v>7</v>
      </c>
      <c r="B18" s="613" t="s">
        <v>498</v>
      </c>
      <c r="C18" s="34"/>
      <c r="D18" s="34"/>
      <c r="E18" s="34" t="s">
        <v>499</v>
      </c>
      <c r="F18" s="34"/>
      <c r="G18" s="34"/>
      <c r="H18" s="34"/>
      <c r="I18" s="34"/>
      <c r="J18" s="34"/>
      <c r="K18" s="34"/>
      <c r="L18" s="34"/>
      <c r="M18" s="522"/>
      <c r="N18" s="522"/>
      <c r="O18" s="522" t="e">
        <f>O16/O8</f>
        <v>#REF!</v>
      </c>
      <c r="P18" s="522" t="e">
        <f t="shared" ref="P18:T18" si="13">P16/P8</f>
        <v>#REF!</v>
      </c>
      <c r="Q18" s="522" t="e">
        <f t="shared" si="13"/>
        <v>#REF!</v>
      </c>
      <c r="R18" s="522" t="e">
        <f t="shared" si="13"/>
        <v>#REF!</v>
      </c>
      <c r="S18" s="522" t="e">
        <f t="shared" si="13"/>
        <v>#REF!</v>
      </c>
      <c r="T18" s="522" t="e">
        <f t="shared" si="13"/>
        <v>#REF!</v>
      </c>
      <c r="U18" s="34"/>
      <c r="V18" s="34"/>
      <c r="W18" s="34"/>
      <c r="X18" s="34"/>
      <c r="Y18" s="34"/>
      <c r="Z18" s="34"/>
      <c r="AA18" s="34"/>
      <c r="AB18" s="34"/>
    </row>
    <row r="19" spans="1:28">
      <c r="A19" s="34"/>
      <c r="B19" s="739" t="s">
        <v>500</v>
      </c>
      <c r="C19" s="34"/>
      <c r="D19" s="34"/>
      <c r="E19" s="34"/>
      <c r="F19" s="34"/>
      <c r="G19" s="34"/>
      <c r="H19" s="34"/>
      <c r="I19" s="34"/>
      <c r="J19" s="34"/>
      <c r="K19" s="34"/>
      <c r="L19" s="34"/>
      <c r="M19" s="522"/>
      <c r="N19" s="522"/>
      <c r="O19" s="522"/>
      <c r="P19" s="522" t="e">
        <f t="shared" ref="P19" si="14">P18-O18</f>
        <v>#REF!</v>
      </c>
      <c r="Q19" s="522" t="e">
        <f t="shared" ref="Q19" si="15">Q18-P18</f>
        <v>#REF!</v>
      </c>
      <c r="R19" s="522" t="e">
        <f t="shared" ref="R19" si="16">R18-Q18</f>
        <v>#REF!</v>
      </c>
      <c r="S19" s="522" t="e">
        <f t="shared" ref="S19" si="17">S18-R18</f>
        <v>#REF!</v>
      </c>
      <c r="T19" s="522" t="e">
        <f t="shared" ref="T19" si="18">T18-S18</f>
        <v>#REF!</v>
      </c>
      <c r="U19" s="34"/>
      <c r="V19" s="34"/>
      <c r="W19" s="34"/>
      <c r="X19" s="34"/>
      <c r="Y19" s="34"/>
      <c r="Z19" s="34"/>
      <c r="AA19" s="34"/>
      <c r="AB19" s="34"/>
    </row>
    <row r="20" spans="1:28">
      <c r="A20" s="34"/>
      <c r="B20" s="34"/>
      <c r="C20" s="34"/>
      <c r="D20" s="34"/>
      <c r="E20" s="34"/>
      <c r="F20" s="34"/>
      <c r="G20" s="34"/>
      <c r="H20" s="34"/>
      <c r="I20" s="34"/>
      <c r="J20" s="34"/>
      <c r="K20" s="34"/>
      <c r="L20" s="34"/>
      <c r="M20" s="522"/>
      <c r="N20" s="522"/>
      <c r="O20" s="522" t="s">
        <v>501</v>
      </c>
      <c r="P20" s="522"/>
      <c r="Q20" s="522"/>
      <c r="R20" s="522"/>
      <c r="S20" s="522"/>
      <c r="T20" s="522"/>
      <c r="U20" s="34"/>
      <c r="V20" s="34"/>
      <c r="W20" s="34"/>
      <c r="X20" s="34"/>
      <c r="Y20" s="34"/>
      <c r="Z20" s="34"/>
      <c r="AA20" s="34"/>
      <c r="AB20" s="34"/>
    </row>
    <row r="21" spans="1:28">
      <c r="A21" s="34">
        <v>8</v>
      </c>
      <c r="B21" s="613" t="s">
        <v>502</v>
      </c>
      <c r="C21" s="34"/>
      <c r="D21" s="34"/>
      <c r="E21" s="34" t="s">
        <v>503</v>
      </c>
      <c r="F21" s="34"/>
      <c r="G21" s="34"/>
      <c r="H21" s="34"/>
      <c r="I21" s="34"/>
      <c r="J21" s="34"/>
      <c r="K21" s="34"/>
      <c r="L21" s="34"/>
      <c r="M21" s="791"/>
      <c r="N21" s="791"/>
      <c r="O21" s="792" t="e">
        <f>O16/O22</f>
        <v>#REF!</v>
      </c>
      <c r="P21" s="792" t="e">
        <f t="shared" ref="P21:T21" si="19">P16/P22</f>
        <v>#REF!</v>
      </c>
      <c r="Q21" s="792" t="e">
        <f t="shared" si="19"/>
        <v>#REF!</v>
      </c>
      <c r="R21" s="792" t="e">
        <f t="shared" si="19"/>
        <v>#REF!</v>
      </c>
      <c r="S21" s="792" t="e">
        <f t="shared" si="19"/>
        <v>#REF!</v>
      </c>
      <c r="T21" s="792" t="e">
        <f t="shared" si="19"/>
        <v>#REF!</v>
      </c>
      <c r="U21" s="34"/>
      <c r="V21" s="34"/>
      <c r="W21" s="34"/>
      <c r="X21" s="34"/>
      <c r="Y21" s="34"/>
      <c r="Z21" s="34"/>
      <c r="AA21" s="34"/>
      <c r="AB21" s="34"/>
    </row>
    <row r="22" spans="1:28">
      <c r="A22" s="34"/>
      <c r="B22" s="739" t="s">
        <v>504</v>
      </c>
      <c r="C22" s="34"/>
      <c r="D22" s="34"/>
      <c r="E22" s="46" t="s">
        <v>336</v>
      </c>
      <c r="F22" s="46"/>
      <c r="G22" s="46"/>
      <c r="H22" s="34"/>
      <c r="I22" s="34"/>
      <c r="J22" s="34"/>
      <c r="K22" s="34"/>
      <c r="L22" s="34"/>
      <c r="M22" s="864"/>
      <c r="N22" s="864"/>
      <c r="O22" s="864" t="e">
        <f>#REF!</f>
        <v>#REF!</v>
      </c>
      <c r="P22" s="864" t="e">
        <f>#REF!</f>
        <v>#REF!</v>
      </c>
      <c r="Q22" s="864" t="e">
        <f>#REF!</f>
        <v>#REF!</v>
      </c>
      <c r="R22" s="864" t="e">
        <f>#REF!</f>
        <v>#REF!</v>
      </c>
      <c r="S22" s="864" t="e">
        <f>#REF!</f>
        <v>#REF!</v>
      </c>
      <c r="T22" s="864" t="e">
        <f>#REF!</f>
        <v>#REF!</v>
      </c>
      <c r="U22" s="34"/>
      <c r="V22" s="34"/>
      <c r="W22" s="34"/>
      <c r="X22" s="34"/>
      <c r="Y22" s="34"/>
      <c r="Z22" s="34"/>
      <c r="AA22" s="34"/>
      <c r="AB22" s="34"/>
    </row>
    <row r="23" spans="1:28">
      <c r="A23" s="34"/>
      <c r="B23" s="739" t="s">
        <v>500</v>
      </c>
      <c r="C23" s="34"/>
      <c r="D23" s="34"/>
      <c r="E23" s="34"/>
      <c r="F23" s="34"/>
      <c r="G23" s="34"/>
      <c r="H23" s="34"/>
      <c r="I23" s="34"/>
      <c r="J23" s="34"/>
      <c r="K23" s="34"/>
      <c r="L23" s="34"/>
      <c r="M23" s="522"/>
      <c r="N23" s="522"/>
      <c r="O23" s="522"/>
      <c r="P23" s="522" t="e">
        <f t="shared" ref="P23" si="20">P21-O21</f>
        <v>#REF!</v>
      </c>
      <c r="Q23" s="522" t="e">
        <f t="shared" ref="Q23" si="21">Q21-P21</f>
        <v>#REF!</v>
      </c>
      <c r="R23" s="522" t="e">
        <f t="shared" ref="R23" si="22">R21-Q21</f>
        <v>#REF!</v>
      </c>
      <c r="S23" s="522" t="e">
        <f t="shared" ref="S23" si="23">S21-R21</f>
        <v>#REF!</v>
      </c>
      <c r="T23" s="522" t="e">
        <f t="shared" ref="T23" si="24">T21-S21</f>
        <v>#REF!</v>
      </c>
      <c r="U23" s="34"/>
      <c r="V23" s="34"/>
      <c r="W23" s="34"/>
      <c r="X23" s="34"/>
      <c r="Y23" s="34"/>
      <c r="Z23" s="34"/>
      <c r="AA23" s="34"/>
      <c r="AB23" s="34"/>
    </row>
    <row r="24" spans="1:28">
      <c r="A24" s="34"/>
      <c r="B24" s="739"/>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row>
    <row r="25" spans="1:28">
      <c r="A25" s="34">
        <v>9</v>
      </c>
      <c r="B25" s="613" t="s">
        <v>505</v>
      </c>
      <c r="C25" s="34"/>
      <c r="D25" s="34"/>
      <c r="E25" s="34" t="s">
        <v>506</v>
      </c>
      <c r="F25" s="34"/>
      <c r="G25" s="34"/>
      <c r="H25" s="34"/>
      <c r="I25" s="34"/>
      <c r="J25" s="34"/>
      <c r="K25" s="34"/>
      <c r="L25" s="34"/>
      <c r="M25" s="522"/>
      <c r="N25" s="522"/>
      <c r="O25" s="522"/>
      <c r="P25" s="522" t="e">
        <f t="shared" ref="P25" si="25">(P16-O16)/O8</f>
        <v>#REF!</v>
      </c>
      <c r="Q25" s="522" t="e">
        <f t="shared" ref="Q25" si="26">(Q16-P16)/P8</f>
        <v>#REF!</v>
      </c>
      <c r="R25" s="522" t="e">
        <f t="shared" ref="R25" si="27">(R16-Q16)/Q8</f>
        <v>#REF!</v>
      </c>
      <c r="S25" s="522" t="e">
        <f t="shared" ref="S25" si="28">(S16-R16)/R8</f>
        <v>#REF!</v>
      </c>
      <c r="T25" s="522" t="e">
        <f t="shared" ref="T25" si="29">(T16-S16)/S8</f>
        <v>#REF!</v>
      </c>
      <c r="U25" s="34"/>
      <c r="V25" s="34"/>
      <c r="W25" s="34"/>
      <c r="X25" s="34"/>
      <c r="Y25" s="34"/>
      <c r="Z25" s="34"/>
      <c r="AA25" s="34"/>
      <c r="AB25" s="34"/>
    </row>
    <row r="26" spans="1:28">
      <c r="A26" s="34"/>
      <c r="B26" s="34"/>
      <c r="C26" s="34"/>
      <c r="D26" s="34"/>
      <c r="E26" s="34" t="s">
        <v>507</v>
      </c>
      <c r="F26" s="34"/>
      <c r="G26" s="34"/>
      <c r="H26" s="34"/>
      <c r="I26" s="34"/>
      <c r="J26" s="34"/>
      <c r="K26" s="34"/>
      <c r="L26" s="34"/>
      <c r="M26" s="34"/>
      <c r="N26" s="34"/>
      <c r="O26" s="34"/>
      <c r="P26" s="34"/>
      <c r="Q26" s="34"/>
      <c r="R26" s="34"/>
      <c r="S26" s="34"/>
      <c r="T26" s="34"/>
      <c r="U26" s="34"/>
      <c r="V26" s="34"/>
      <c r="W26" s="34"/>
      <c r="X26" s="34"/>
      <c r="Y26" s="34"/>
      <c r="Z26" s="34"/>
      <c r="AA26" s="34"/>
      <c r="AB26" s="34"/>
    </row>
    <row r="27" spans="1:28">
      <c r="A27" s="34">
        <v>10</v>
      </c>
      <c r="B27" s="613" t="s">
        <v>508</v>
      </c>
      <c r="C27" s="34"/>
      <c r="D27" s="34"/>
      <c r="E27" s="46" t="s">
        <v>336</v>
      </c>
      <c r="F27" s="46"/>
      <c r="G27" s="46"/>
      <c r="H27" s="34"/>
      <c r="I27" s="34"/>
      <c r="J27" s="34"/>
      <c r="K27" s="34"/>
      <c r="L27" s="34"/>
      <c r="M27" s="866"/>
      <c r="N27" s="866"/>
      <c r="O27" s="866"/>
      <c r="P27" s="866"/>
      <c r="Q27" s="866"/>
      <c r="R27" s="866"/>
      <c r="S27" s="866"/>
      <c r="T27" s="866"/>
      <c r="U27" s="34"/>
      <c r="V27" s="34"/>
      <c r="W27" s="34"/>
      <c r="X27" s="34"/>
      <c r="Y27" s="34"/>
      <c r="Z27" s="34"/>
      <c r="AA27" s="34"/>
      <c r="AB27" s="34"/>
    </row>
    <row r="28" spans="1:28">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28">
      <c r="A29" s="34">
        <v>11</v>
      </c>
      <c r="B29" s="613" t="s">
        <v>509</v>
      </c>
      <c r="C29" s="34"/>
      <c r="D29" s="34"/>
      <c r="E29" s="46" t="s">
        <v>433</v>
      </c>
      <c r="F29" s="46"/>
      <c r="G29" s="46"/>
      <c r="H29" s="34"/>
      <c r="I29" s="34"/>
      <c r="J29" s="34"/>
      <c r="K29" s="34"/>
      <c r="L29" s="34"/>
      <c r="M29" s="866"/>
      <c r="N29" s="866"/>
      <c r="O29" s="866"/>
      <c r="P29" s="866"/>
      <c r="Q29" s="866"/>
      <c r="R29" s="866"/>
      <c r="S29" s="866"/>
      <c r="T29" s="866"/>
      <c r="U29" s="34"/>
      <c r="V29" s="34"/>
      <c r="W29" s="34"/>
      <c r="X29" s="34"/>
      <c r="Y29" s="34"/>
      <c r="Z29" s="34"/>
      <c r="AA29" s="34"/>
      <c r="AB29" s="34"/>
    </row>
    <row r="30" spans="1:28">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row>
    <row r="31" spans="1:28">
      <c r="A31" s="34">
        <v>12</v>
      </c>
      <c r="B31" s="613" t="s">
        <v>510</v>
      </c>
      <c r="C31" s="34"/>
      <c r="D31" s="34"/>
      <c r="E31" s="46" t="s">
        <v>336</v>
      </c>
      <c r="F31" s="46"/>
      <c r="G31" s="46"/>
      <c r="H31" s="34"/>
      <c r="I31" s="34"/>
      <c r="J31" s="34"/>
      <c r="K31" s="34"/>
      <c r="L31" s="34"/>
      <c r="M31" s="864"/>
      <c r="N31" s="864"/>
      <c r="O31" s="864"/>
      <c r="P31" s="864"/>
      <c r="Q31" s="864"/>
      <c r="R31" s="864"/>
      <c r="S31" s="865" t="e">
        <f t="shared" ref="S31:T31" si="30">S32/S6</f>
        <v>#REF!</v>
      </c>
      <c r="T31" s="865" t="e">
        <f t="shared" si="30"/>
        <v>#REF!</v>
      </c>
      <c r="U31" s="34"/>
      <c r="V31" s="34"/>
      <c r="W31" s="34"/>
      <c r="X31" s="34"/>
      <c r="Y31" s="34"/>
      <c r="Z31" s="34"/>
      <c r="AA31" s="34"/>
      <c r="AB31" s="34"/>
    </row>
    <row r="32" spans="1:28">
      <c r="A32" s="34"/>
      <c r="B32" s="739" t="s">
        <v>511</v>
      </c>
      <c r="C32" s="34"/>
      <c r="D32" s="34"/>
      <c r="E32" s="46" t="s">
        <v>336</v>
      </c>
      <c r="F32" s="46"/>
      <c r="G32" s="46"/>
      <c r="H32" s="34"/>
      <c r="I32" s="34"/>
      <c r="J32" s="34"/>
      <c r="K32" s="34"/>
      <c r="L32" s="34"/>
      <c r="M32" s="45"/>
      <c r="N32" s="45"/>
      <c r="O32" s="45" t="e">
        <f>#REF!</f>
        <v>#REF!</v>
      </c>
      <c r="P32" s="45" t="e">
        <f>#REF!</f>
        <v>#REF!</v>
      </c>
      <c r="Q32" s="45" t="e">
        <f>#REF!</f>
        <v>#REF!</v>
      </c>
      <c r="R32" s="45" t="e">
        <f>#REF!</f>
        <v>#REF!</v>
      </c>
      <c r="S32" s="45" t="e">
        <f>#REF!</f>
        <v>#REF!</v>
      </c>
      <c r="T32" s="45" t="e">
        <f>#REF!</f>
        <v>#REF!</v>
      </c>
      <c r="U32" s="34"/>
      <c r="V32" s="34"/>
      <c r="W32" s="34"/>
      <c r="X32" s="34"/>
      <c r="Y32" s="34"/>
      <c r="Z32" s="34"/>
      <c r="AA32" s="34"/>
      <c r="AB32" s="34"/>
    </row>
    <row r="33" spans="1:28">
      <c r="A33" s="34"/>
      <c r="B33" s="739"/>
      <c r="C33" s="34"/>
      <c r="D33" s="34"/>
      <c r="E33" s="46"/>
      <c r="F33" s="46"/>
      <c r="G33" s="46"/>
      <c r="H33" s="34"/>
      <c r="I33" s="34"/>
      <c r="J33" s="34"/>
      <c r="K33" s="34"/>
      <c r="L33" s="34"/>
      <c r="M33" s="45"/>
      <c r="N33" s="45"/>
      <c r="O33" s="45"/>
      <c r="P33" s="45"/>
      <c r="Q33" s="45"/>
      <c r="R33" s="45"/>
      <c r="S33" s="45"/>
      <c r="T33" s="45"/>
      <c r="U33" s="34"/>
      <c r="V33" s="34"/>
      <c r="W33" s="34"/>
      <c r="X33" s="34"/>
      <c r="Y33" s="34"/>
      <c r="Z33" s="34"/>
      <c r="AA33" s="34"/>
      <c r="AB33" s="34"/>
    </row>
    <row r="34" spans="1:28">
      <c r="A34" s="34">
        <v>13</v>
      </c>
      <c r="B34" s="867" t="s">
        <v>339</v>
      </c>
      <c r="C34" s="34"/>
      <c r="D34" s="34"/>
      <c r="E34" s="46" t="s">
        <v>336</v>
      </c>
      <c r="F34" s="46"/>
      <c r="G34" s="46"/>
      <c r="H34" s="34"/>
      <c r="I34" s="34"/>
      <c r="J34" s="34"/>
      <c r="K34" s="34"/>
      <c r="L34" s="34"/>
      <c r="M34" s="45"/>
      <c r="N34" s="45"/>
      <c r="O34" s="45" t="e">
        <f>#REF!</f>
        <v>#REF!</v>
      </c>
      <c r="P34" s="45" t="e">
        <f>#REF!</f>
        <v>#REF!</v>
      </c>
      <c r="Q34" s="45" t="e">
        <f>#REF!</f>
        <v>#REF!</v>
      </c>
      <c r="R34" s="45" t="e">
        <f>#REF!</f>
        <v>#REF!</v>
      </c>
      <c r="S34" s="45" t="e">
        <f>#REF!</f>
        <v>#REF!</v>
      </c>
      <c r="T34" s="45" t="e">
        <f>#REF!</f>
        <v>#REF!</v>
      </c>
      <c r="U34" s="34"/>
      <c r="V34" s="34"/>
      <c r="W34" s="34"/>
      <c r="X34" s="34"/>
      <c r="Y34" s="34"/>
      <c r="Z34" s="34"/>
      <c r="AA34" s="34"/>
      <c r="AB34" s="34"/>
    </row>
    <row r="35" spans="1:28">
      <c r="A35" s="34"/>
      <c r="B35" s="739" t="s">
        <v>512</v>
      </c>
      <c r="C35" s="34"/>
      <c r="D35" s="34"/>
      <c r="E35" s="46" t="s">
        <v>336</v>
      </c>
      <c r="F35" s="46"/>
      <c r="G35" s="46"/>
      <c r="H35" s="34"/>
      <c r="I35" s="34"/>
      <c r="J35" s="34"/>
      <c r="K35" s="34"/>
      <c r="L35" s="34"/>
      <c r="M35" s="45"/>
      <c r="N35" s="45"/>
      <c r="O35" s="45"/>
      <c r="P35" s="45"/>
      <c r="Q35" s="45"/>
      <c r="R35" s="45"/>
      <c r="S35" s="808" t="e">
        <f t="shared" ref="S35:T35" si="31">S34/S6</f>
        <v>#REF!</v>
      </c>
      <c r="T35" s="808" t="e">
        <f t="shared" si="31"/>
        <v>#REF!</v>
      </c>
      <c r="U35" s="34"/>
      <c r="V35" s="34"/>
      <c r="W35" s="34"/>
      <c r="X35" s="34"/>
      <c r="Y35" s="34"/>
      <c r="Z35" s="34"/>
      <c r="AA35" s="34"/>
      <c r="AB35" s="34"/>
    </row>
    <row r="36" spans="1:28">
      <c r="A36" s="34"/>
      <c r="B36" s="739" t="s">
        <v>513</v>
      </c>
      <c r="C36" s="34"/>
      <c r="D36" s="34"/>
      <c r="E36" s="46" t="s">
        <v>433</v>
      </c>
      <c r="F36" s="46"/>
      <c r="G36" s="46"/>
      <c r="H36" s="34"/>
      <c r="I36" s="34"/>
      <c r="J36" s="34"/>
      <c r="K36" s="34"/>
      <c r="L36" s="34"/>
      <c r="M36" s="868"/>
      <c r="N36" s="868"/>
      <c r="O36" s="868"/>
      <c r="P36" s="868"/>
      <c r="Q36" s="868"/>
      <c r="R36" s="868"/>
      <c r="S36" s="868"/>
      <c r="T36" s="868"/>
      <c r="U36" s="34"/>
      <c r="V36" s="34"/>
      <c r="W36" s="34"/>
      <c r="X36" s="34"/>
      <c r="Y36" s="34"/>
      <c r="Z36" s="34"/>
      <c r="AA36" s="34"/>
      <c r="AB36" s="34"/>
    </row>
    <row r="37" spans="1:28">
      <c r="A37" s="34"/>
      <c r="B37" s="739"/>
      <c r="C37" s="34"/>
      <c r="D37" s="34"/>
      <c r="E37" s="46"/>
      <c r="F37" s="46"/>
      <c r="G37" s="46"/>
      <c r="H37" s="34"/>
      <c r="I37" s="34"/>
      <c r="J37" s="34"/>
      <c r="K37" s="34"/>
      <c r="L37" s="34"/>
      <c r="M37" s="45"/>
      <c r="N37" s="45"/>
      <c r="O37" s="45"/>
      <c r="P37" s="45"/>
      <c r="Q37" s="45"/>
      <c r="R37" s="45"/>
      <c r="S37" s="45"/>
      <c r="T37" s="45"/>
      <c r="U37" s="34"/>
      <c r="V37" s="34"/>
      <c r="W37" s="34"/>
      <c r="X37" s="34"/>
      <c r="Y37" s="34"/>
      <c r="Z37" s="34"/>
      <c r="AA37" s="34"/>
      <c r="AB37" s="34"/>
    </row>
    <row r="38" spans="1:28">
      <c r="A38" s="34">
        <v>15</v>
      </c>
      <c r="B38" s="613" t="s">
        <v>514</v>
      </c>
      <c r="C38" s="34"/>
      <c r="D38" s="34"/>
      <c r="E38" s="34"/>
      <c r="F38" s="34"/>
      <c r="G38" s="34"/>
      <c r="H38" s="809"/>
      <c r="I38" s="34"/>
      <c r="J38" s="34"/>
      <c r="K38" s="34"/>
      <c r="L38" s="34"/>
      <c r="M38" s="809"/>
      <c r="N38" s="809"/>
      <c r="O38" s="809"/>
      <c r="P38" s="809"/>
      <c r="Q38" s="809"/>
      <c r="R38" s="809"/>
      <c r="S38" s="809"/>
      <c r="T38" s="809"/>
      <c r="U38" s="34"/>
      <c r="V38" s="34"/>
      <c r="W38" s="34"/>
      <c r="X38" s="34"/>
      <c r="Y38" s="34"/>
      <c r="Z38" s="34"/>
      <c r="AA38" s="34"/>
      <c r="AB38" s="34"/>
    </row>
    <row r="39" spans="1:28">
      <c r="A39" s="34"/>
      <c r="B39" s="739" t="s">
        <v>515</v>
      </c>
      <c r="C39" s="34"/>
      <c r="D39" s="34"/>
      <c r="E39" s="46" t="s">
        <v>516</v>
      </c>
      <c r="F39" s="34"/>
      <c r="G39" s="34"/>
      <c r="H39" s="34"/>
      <c r="I39" s="34"/>
      <c r="J39" s="34"/>
      <c r="K39" s="34"/>
      <c r="L39" s="34"/>
      <c r="M39" s="866"/>
      <c r="N39" s="866"/>
      <c r="O39" s="866" t="e">
        <f>#REF!</f>
        <v>#REF!</v>
      </c>
      <c r="P39" s="866" t="e">
        <f>#REF!</f>
        <v>#REF!</v>
      </c>
      <c r="Q39" s="866" t="e">
        <f>#REF!</f>
        <v>#REF!</v>
      </c>
      <c r="R39" s="866" t="e">
        <f>#REF!</f>
        <v>#REF!</v>
      </c>
      <c r="S39" s="866" t="e">
        <f>#REF!</f>
        <v>#REF!</v>
      </c>
      <c r="T39" s="866" t="e">
        <f>#REF!</f>
        <v>#REF!</v>
      </c>
      <c r="U39" s="34"/>
      <c r="V39" s="34"/>
      <c r="W39" s="34"/>
      <c r="X39" s="34"/>
      <c r="Y39" s="34"/>
      <c r="Z39" s="34"/>
      <c r="AA39" s="34"/>
      <c r="AB39" s="34"/>
    </row>
    <row r="40" spans="1:28">
      <c r="A40" s="34"/>
      <c r="B40" s="739" t="s">
        <v>517</v>
      </c>
      <c r="C40" s="34"/>
      <c r="D40" s="34"/>
      <c r="E40" s="46" t="s">
        <v>516</v>
      </c>
      <c r="F40" s="34"/>
      <c r="G40" s="34"/>
      <c r="H40" s="809"/>
      <c r="I40" s="34"/>
      <c r="J40" s="34"/>
      <c r="K40" s="34"/>
      <c r="L40" s="34"/>
      <c r="M40" s="866"/>
      <c r="N40" s="866"/>
      <c r="O40" s="866" t="e">
        <f>#REF!</f>
        <v>#REF!</v>
      </c>
      <c r="P40" s="866" t="e">
        <f>#REF!</f>
        <v>#REF!</v>
      </c>
      <c r="Q40" s="866" t="e">
        <f>#REF!</f>
        <v>#REF!</v>
      </c>
      <c r="R40" s="866" t="e">
        <f>#REF!</f>
        <v>#REF!</v>
      </c>
      <c r="S40" s="866" t="e">
        <f>#REF!</f>
        <v>#REF!</v>
      </c>
      <c r="T40" s="866" t="e">
        <f>#REF!</f>
        <v>#REF!</v>
      </c>
      <c r="U40" s="34"/>
      <c r="V40" s="34"/>
      <c r="W40" s="34"/>
      <c r="X40" s="34"/>
      <c r="Y40" s="34"/>
      <c r="Z40" s="34"/>
      <c r="AA40" s="34"/>
      <c r="AB40" s="34"/>
    </row>
    <row r="41" spans="1:28">
      <c r="A41" s="34"/>
      <c r="B41" s="869"/>
      <c r="C41" s="34"/>
      <c r="D41" s="34"/>
      <c r="E41" s="43"/>
      <c r="F41" s="43"/>
      <c r="G41" s="43"/>
      <c r="H41" s="856"/>
      <c r="I41" s="34"/>
      <c r="J41" s="34"/>
      <c r="K41" s="34"/>
      <c r="L41" s="34"/>
      <c r="M41" s="856"/>
      <c r="N41" s="856"/>
      <c r="O41" s="856"/>
      <c r="P41" s="856"/>
      <c r="Q41" s="856"/>
      <c r="R41" s="856"/>
      <c r="S41" s="856"/>
      <c r="T41" s="856"/>
      <c r="U41" s="34"/>
      <c r="V41" s="34"/>
      <c r="W41" s="34"/>
      <c r="X41" s="34"/>
      <c r="Y41" s="34"/>
      <c r="Z41" s="34"/>
      <c r="AA41" s="34"/>
      <c r="AB41" s="34"/>
    </row>
    <row r="42" spans="1:28">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row>
    <row r="43" spans="1:28">
      <c r="A43" s="34"/>
      <c r="B43" s="34" t="str">
        <f>B18</f>
        <v>EVA margin %</v>
      </c>
      <c r="C43" s="34"/>
      <c r="D43" s="34"/>
      <c r="E43" s="34" t="str">
        <f>E18</f>
        <v>[EVA/Sales]</v>
      </c>
      <c r="F43" s="34">
        <f t="shared" ref="F43:H43" si="32">F18</f>
        <v>0</v>
      </c>
      <c r="G43" s="34">
        <f t="shared" si="32"/>
        <v>0</v>
      </c>
      <c r="H43" s="34">
        <f t="shared" si="32"/>
        <v>0</v>
      </c>
      <c r="I43" s="34"/>
      <c r="J43" s="34"/>
      <c r="K43" s="34"/>
      <c r="L43" s="34"/>
      <c r="M43" s="177"/>
      <c r="N43" s="177"/>
      <c r="O43" s="177" t="e">
        <f t="shared" ref="O43:T43" si="33">O18</f>
        <v>#REF!</v>
      </c>
      <c r="P43" s="177" t="e">
        <f t="shared" si="33"/>
        <v>#REF!</v>
      </c>
      <c r="Q43" s="177" t="e">
        <f t="shared" si="33"/>
        <v>#REF!</v>
      </c>
      <c r="R43" s="177" t="e">
        <f t="shared" si="33"/>
        <v>#REF!</v>
      </c>
      <c r="S43" s="177" t="e">
        <f t="shared" si="33"/>
        <v>#REF!</v>
      </c>
      <c r="T43" s="177" t="e">
        <f t="shared" si="33"/>
        <v>#REF!</v>
      </c>
      <c r="U43" s="34"/>
      <c r="V43" s="34"/>
      <c r="W43" s="34"/>
      <c r="X43" s="34"/>
      <c r="Y43" s="34"/>
      <c r="Z43" s="34"/>
      <c r="AA43" s="34"/>
      <c r="AB43" s="34"/>
    </row>
    <row r="44" spans="1:28">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row>
    <row r="45" spans="1:28">
      <c r="A45" s="34"/>
      <c r="B45" s="34" t="s">
        <v>518</v>
      </c>
      <c r="C45" s="34"/>
      <c r="D45" s="34"/>
      <c r="E45" s="34"/>
      <c r="F45" s="34"/>
      <c r="G45" s="34"/>
      <c r="H45" s="34"/>
      <c r="I45" s="34"/>
      <c r="J45" s="34"/>
      <c r="K45" s="34"/>
      <c r="L45" s="34"/>
      <c r="M45" s="870"/>
      <c r="N45" s="805"/>
      <c r="O45" s="805"/>
      <c r="P45" s="870" t="e">
        <f t="shared" ref="P45" si="34">P43-O43</f>
        <v>#REF!</v>
      </c>
      <c r="Q45" s="870" t="e">
        <f t="shared" ref="Q45" si="35">Q43-P43</f>
        <v>#REF!</v>
      </c>
      <c r="R45" s="870" t="e">
        <f t="shared" ref="R45" si="36">R43-Q43</f>
        <v>#REF!</v>
      </c>
      <c r="S45" s="870" t="e">
        <f t="shared" ref="S45" si="37">S43-R43</f>
        <v>#REF!</v>
      </c>
      <c r="T45" s="870" t="e">
        <f t="shared" ref="T45" si="38">T43-S43</f>
        <v>#REF!</v>
      </c>
      <c r="U45" s="34"/>
      <c r="V45" s="34"/>
      <c r="W45" s="34"/>
      <c r="X45" s="34"/>
      <c r="Y45" s="34"/>
      <c r="Z45" s="34"/>
      <c r="AA45" s="34"/>
      <c r="AB45" s="34"/>
    </row>
    <row r="46" spans="1:28">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row>
    <row r="47" spans="1:28">
      <c r="A47" s="34"/>
      <c r="B47" s="34" t="s">
        <v>519</v>
      </c>
      <c r="C47" s="34"/>
      <c r="D47" s="34"/>
      <c r="E47" s="34"/>
      <c r="F47" s="34"/>
      <c r="G47" s="34"/>
      <c r="H47" s="34"/>
      <c r="I47" s="34"/>
      <c r="J47" s="34"/>
      <c r="K47" s="34"/>
      <c r="L47" s="34"/>
      <c r="M47" s="805"/>
      <c r="N47" s="805"/>
      <c r="O47" s="805"/>
      <c r="P47" s="805">
        <f t="shared" ref="P47:T47" si="39">P10</f>
        <v>0.19669751406278352</v>
      </c>
      <c r="Q47" s="805">
        <f t="shared" si="39"/>
        <v>1.4962850644427597</v>
      </c>
      <c r="R47" s="805">
        <f t="shared" si="39"/>
        <v>-1</v>
      </c>
      <c r="S47" s="805" t="e">
        <f t="shared" si="39"/>
        <v>#DIV/0!</v>
      </c>
      <c r="T47" s="805" t="e">
        <f t="shared" si="39"/>
        <v>#DIV/0!</v>
      </c>
      <c r="U47" s="34"/>
      <c r="V47" s="34"/>
      <c r="W47" s="34"/>
      <c r="X47" s="34"/>
      <c r="Y47" s="34"/>
      <c r="Z47" s="34"/>
      <c r="AA47" s="34"/>
      <c r="AB47" s="34"/>
    </row>
    <row r="48" spans="1:28">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row>
    <row r="49" spans="1:28">
      <c r="A49" s="34"/>
      <c r="B49" s="34" t="s">
        <v>520</v>
      </c>
      <c r="C49" s="34"/>
      <c r="D49" s="34"/>
      <c r="E49" s="34"/>
      <c r="F49" s="34"/>
      <c r="G49" s="34"/>
      <c r="H49" s="34"/>
      <c r="I49" s="34"/>
      <c r="J49" s="34"/>
      <c r="K49" s="34"/>
      <c r="L49" s="34"/>
      <c r="M49" s="871"/>
      <c r="N49" s="872"/>
      <c r="O49" s="872"/>
      <c r="P49" s="871" t="e">
        <f t="shared" ref="P49:T49" si="40">P47*P43</f>
        <v>#REF!</v>
      </c>
      <c r="Q49" s="871" t="e">
        <f t="shared" si="40"/>
        <v>#REF!</v>
      </c>
      <c r="R49" s="871" t="e">
        <f t="shared" si="40"/>
        <v>#REF!</v>
      </c>
      <c r="S49" s="871" t="e">
        <f t="shared" si="40"/>
        <v>#DIV/0!</v>
      </c>
      <c r="T49" s="871" t="e">
        <f t="shared" si="40"/>
        <v>#DIV/0!</v>
      </c>
      <c r="U49" s="34"/>
      <c r="V49" s="34"/>
      <c r="W49" s="34"/>
      <c r="X49" s="34"/>
      <c r="Y49" s="34"/>
      <c r="Z49" s="34"/>
      <c r="AA49" s="34"/>
      <c r="AB49" s="34"/>
    </row>
    <row r="50" spans="1:28">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row>
    <row r="51" spans="1:28">
      <c r="A51" s="34"/>
      <c r="B51" s="49" t="str">
        <f>B25</f>
        <v>EVA Momentum</v>
      </c>
      <c r="C51" s="49"/>
      <c r="D51" s="49"/>
      <c r="E51" s="49"/>
      <c r="F51" s="49"/>
      <c r="G51" s="49"/>
      <c r="H51" s="49"/>
      <c r="I51" s="34"/>
      <c r="J51" s="34"/>
      <c r="K51" s="34"/>
      <c r="L51" s="34"/>
      <c r="M51" s="870"/>
      <c r="N51" s="805"/>
      <c r="O51" s="805"/>
      <c r="P51" s="870" t="e">
        <f t="shared" ref="P51:T51" si="41">P49+P45</f>
        <v>#REF!</v>
      </c>
      <c r="Q51" s="870" t="e">
        <f t="shared" si="41"/>
        <v>#REF!</v>
      </c>
      <c r="R51" s="870" t="e">
        <f t="shared" si="41"/>
        <v>#REF!</v>
      </c>
      <c r="S51" s="870" t="e">
        <f t="shared" si="41"/>
        <v>#DIV/0!</v>
      </c>
      <c r="T51" s="870" t="e">
        <f t="shared" si="41"/>
        <v>#DIV/0!</v>
      </c>
      <c r="U51" s="34"/>
      <c r="V51" s="34"/>
      <c r="W51" s="34"/>
      <c r="X51" s="34"/>
      <c r="Y51" s="34"/>
      <c r="Z51" s="34"/>
      <c r="AA51" s="34"/>
      <c r="AB51" s="34"/>
    </row>
    <row r="52" spans="1:28">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row>
    <row r="53" spans="1:28">
      <c r="A53" s="34"/>
      <c r="B53" s="34" t="s">
        <v>521</v>
      </c>
      <c r="C53" s="34"/>
      <c r="D53" s="34"/>
      <c r="E53" s="34"/>
      <c r="F53" s="34"/>
      <c r="G53" s="34"/>
      <c r="H53" s="34"/>
      <c r="I53" s="34"/>
      <c r="J53" s="34"/>
      <c r="K53" s="34"/>
      <c r="L53" s="34"/>
      <c r="M53" s="873"/>
      <c r="N53" s="873"/>
      <c r="O53" s="873" t="e">
        <f t="shared" ref="O53:T53" si="42">O34/O8</f>
        <v>#REF!</v>
      </c>
      <c r="P53" s="873" t="e">
        <f t="shared" si="42"/>
        <v>#REF!</v>
      </c>
      <c r="Q53" s="873" t="e">
        <f t="shared" si="42"/>
        <v>#REF!</v>
      </c>
      <c r="R53" s="873" t="e">
        <f t="shared" si="42"/>
        <v>#REF!</v>
      </c>
      <c r="S53" s="873" t="e">
        <f t="shared" si="42"/>
        <v>#REF!</v>
      </c>
      <c r="T53" s="873" t="e">
        <f t="shared" si="42"/>
        <v>#REF!</v>
      </c>
      <c r="U53" s="34"/>
      <c r="V53" s="34"/>
      <c r="W53" s="34"/>
      <c r="X53" s="34"/>
      <c r="Y53" s="34"/>
      <c r="Z53" s="34"/>
      <c r="AA53" s="34"/>
      <c r="AB53" s="34"/>
    </row>
    <row r="54" spans="1:28">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row>
    <row r="55" spans="1:28">
      <c r="A55" s="34"/>
      <c r="B55" s="34" t="s">
        <v>522</v>
      </c>
      <c r="C55" s="34"/>
      <c r="D55" s="34"/>
      <c r="E55" s="34"/>
      <c r="F55" s="34"/>
      <c r="G55" s="34"/>
      <c r="H55" s="34"/>
      <c r="I55" s="34"/>
      <c r="J55" s="34"/>
      <c r="K55" s="34"/>
      <c r="L55" s="34"/>
      <c r="M55" s="873"/>
      <c r="N55" s="873"/>
      <c r="O55" s="873" t="e">
        <f t="shared" ref="O55:T55" si="43">O34/O32</f>
        <v>#REF!</v>
      </c>
      <c r="P55" s="873" t="e">
        <f t="shared" si="43"/>
        <v>#REF!</v>
      </c>
      <c r="Q55" s="873" t="e">
        <f t="shared" si="43"/>
        <v>#REF!</v>
      </c>
      <c r="R55" s="873" t="e">
        <f t="shared" si="43"/>
        <v>#REF!</v>
      </c>
      <c r="S55" s="873" t="e">
        <f t="shared" si="43"/>
        <v>#REF!</v>
      </c>
      <c r="T55" s="873" t="e">
        <f t="shared" si="43"/>
        <v>#REF!</v>
      </c>
      <c r="U55" s="34"/>
      <c r="V55" s="34"/>
      <c r="W55" s="34"/>
      <c r="X55" s="34"/>
      <c r="Y55" s="34"/>
      <c r="Z55" s="34"/>
      <c r="AA55" s="34"/>
      <c r="AB55" s="34"/>
    </row>
    <row r="56" spans="1:28">
      <c r="A56" s="43"/>
      <c r="B56" s="43"/>
      <c r="C56" s="43"/>
      <c r="D56" s="43"/>
      <c r="E56" s="43"/>
      <c r="F56" s="43"/>
      <c r="G56" s="43"/>
      <c r="H56" s="43"/>
      <c r="I56" s="34"/>
      <c r="J56" s="34"/>
      <c r="K56" s="34"/>
      <c r="L56" s="34"/>
      <c r="M56" s="43"/>
      <c r="N56" s="43"/>
      <c r="O56" s="43"/>
      <c r="P56" s="43"/>
      <c r="Q56" s="43"/>
      <c r="R56" s="43"/>
      <c r="S56" s="43"/>
      <c r="T56" s="43"/>
      <c r="U56" s="34"/>
      <c r="V56" s="34"/>
      <c r="W56" s="34"/>
      <c r="X56" s="34"/>
      <c r="Y56" s="34"/>
      <c r="Z56" s="34"/>
      <c r="AA56" s="34"/>
      <c r="AB56" s="34"/>
    </row>
    <row r="57" spans="1:28">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row>
    <row r="58" spans="1:28">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row>
    <row r="59" spans="1:28">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row>
    <row r="60" spans="1:28">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row>
    <row r="61" spans="1:28">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row>
    <row r="62" spans="1:28">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row>
    <row r="63" spans="1:28">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row>
    <row r="64" spans="1:28">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row>
    <row r="65" spans="1:28">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row>
    <row r="66" spans="1:28">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row>
    <row r="67" spans="1:28">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row>
    <row r="68" spans="1:28">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row>
    <row r="69" spans="1:28">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row>
    <row r="70" spans="1:28">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row>
    <row r="71" spans="1:28">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row>
    <row r="72" spans="1:28">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row>
    <row r="73" spans="1:28">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row>
    <row r="74" spans="1:28">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row>
    <row r="75" spans="1:28">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row>
    <row r="76" spans="1:28">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row>
    <row r="77" spans="1:28">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row>
    <row r="78" spans="1:28">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row>
    <row r="79" spans="1:28">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row>
    <row r="80" spans="1:28">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row>
    <row r="81" spans="1:28">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row>
    <row r="82" spans="1:28">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row>
    <row r="83" spans="1:28">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row>
    <row r="84" spans="1:28">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row>
    <row r="85" spans="1:28">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row>
    <row r="86" spans="1:28">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row>
    <row r="87" spans="1:28">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row>
    <row r="88" spans="1:28">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row>
    <row r="89" spans="1:28">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row>
    <row r="90" spans="1:28">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row>
    <row r="91" spans="1:28">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row>
  </sheetData>
  <customSheetViews>
    <customSheetView guid="{5826E3E6-173D-429F-ABE1-D868EE9E034B}" fitToPage="1" hiddenColumns="1" topLeftCell="A19">
      <selection activeCell="A18" sqref="A18"/>
      <pageMargins left="0" right="0" top="0" bottom="0" header="0" footer="0"/>
      <pageSetup paperSize="9" scale="87" orientation="landscape" horizontalDpi="0" verticalDpi="0" r:id="rId1"/>
    </customSheetView>
  </customSheetViews>
  <mergeCells count="4">
    <mergeCell ref="L1:N1"/>
    <mergeCell ref="F1:G1"/>
    <mergeCell ref="A1:D1"/>
    <mergeCell ref="I1:K1"/>
  </mergeCells>
  <printOptions headings="1" gridLines="1"/>
  <pageMargins left="0.70866141732283472" right="0.70866141732283472" top="0.74803149606299213" bottom="0.74803149606299213" header="0.31496062992125984" footer="0.31496062992125984"/>
  <pageSetup paperSize="9" scale="56" orientation="landscape" horizontalDpi="0" verticalDpi="0" r:id="rId2"/>
  <headerFooter>
    <oddHeader>&amp;L&amp;8&amp;D&amp;C&amp;8DRAFT&amp;R&amp;8&amp;A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10"/>
  <sheetViews>
    <sheetView workbookViewId="0">
      <selection sqref="A1:D1"/>
    </sheetView>
  </sheetViews>
  <sheetFormatPr defaultRowHeight="12.75"/>
  <cols>
    <col min="1" max="1" width="2.85546875" bestFit="1" customWidth="1"/>
    <col min="2" max="2" width="17.28515625" customWidth="1"/>
    <col min="3" max="3" width="7.5703125" customWidth="1"/>
    <col min="4" max="4" width="9.28515625" customWidth="1"/>
    <col min="5" max="5" width="5.85546875" bestFit="1" customWidth="1"/>
    <col min="6" max="25" width="9.5703125" customWidth="1"/>
  </cols>
  <sheetData>
    <row r="1" spans="1:28" ht="72" customHeight="1">
      <c r="A1" s="1624" t="s">
        <v>193</v>
      </c>
      <c r="B1" s="1624"/>
      <c r="C1" s="1624"/>
      <c r="D1" s="1624"/>
      <c r="E1" s="947" t="e">
        <f>#REF!</f>
        <v>#REF!</v>
      </c>
      <c r="F1" s="1618" t="e">
        <f>#REF!</f>
        <v>#REF!</v>
      </c>
      <c r="G1" s="1618"/>
      <c r="I1" s="1625" t="s">
        <v>523</v>
      </c>
      <c r="J1" s="1625"/>
      <c r="K1" s="1625"/>
      <c r="L1" s="1619">
        <f ca="1">NOW()</f>
        <v>44595.448909606479</v>
      </c>
      <c r="M1" s="1619"/>
      <c r="N1" s="1619"/>
      <c r="O1" s="761"/>
      <c r="P1" s="684"/>
      <c r="Q1" s="684"/>
      <c r="R1" s="684"/>
      <c r="S1" s="684"/>
      <c r="T1" s="684"/>
      <c r="U1" s="684"/>
      <c r="V1" s="684"/>
      <c r="W1" s="684"/>
      <c r="X1" s="684"/>
      <c r="Y1" s="761"/>
      <c r="Z1" s="761"/>
      <c r="AA1" s="761" t="e">
        <f>#REF!</f>
        <v>#REF!</v>
      </c>
      <c r="AB1" s="547"/>
    </row>
    <row r="2" spans="1:28">
      <c r="A2" s="811" t="s">
        <v>488</v>
      </c>
      <c r="B2" s="232"/>
      <c r="C2" s="481"/>
      <c r="D2" s="481"/>
      <c r="E2" s="244"/>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874"/>
    </row>
    <row r="3" spans="1:28">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547"/>
    </row>
    <row r="4" spans="1:28">
      <c r="A4" s="34">
        <v>1</v>
      </c>
      <c r="B4" s="34" t="s">
        <v>524</v>
      </c>
      <c r="C4" s="34"/>
      <c r="D4" s="34"/>
      <c r="E4" s="46" t="s">
        <v>491</v>
      </c>
      <c r="F4" s="714"/>
      <c r="G4" s="714"/>
      <c r="H4" s="714"/>
      <c r="I4" s="714"/>
      <c r="J4" s="714"/>
      <c r="K4" s="714"/>
      <c r="L4" s="714"/>
      <c r="M4" s="714"/>
      <c r="N4" s="714"/>
      <c r="O4" s="714"/>
      <c r="P4" s="714"/>
      <c r="Q4" s="714"/>
      <c r="R4" s="714"/>
      <c r="S4" s="714"/>
      <c r="T4" s="714"/>
      <c r="U4" s="714"/>
      <c r="V4" s="714"/>
      <c r="W4" s="714"/>
      <c r="X4" s="714"/>
      <c r="Y4" s="714"/>
      <c r="Z4" s="714"/>
      <c r="AA4" s="714"/>
      <c r="AB4" s="604"/>
    </row>
    <row r="5" spans="1:28">
      <c r="B5" s="1"/>
      <c r="E5" s="38"/>
      <c r="G5" s="3"/>
      <c r="H5" s="9"/>
      <c r="I5" s="178"/>
      <c r="N5" s="9"/>
      <c r="O5" s="9"/>
      <c r="P5" s="9"/>
      <c r="Q5" s="9"/>
      <c r="R5" s="9"/>
      <c r="S5" s="9"/>
      <c r="T5" s="9"/>
      <c r="U5" s="21"/>
      <c r="V5" s="9"/>
      <c r="W5" s="9"/>
    </row>
    <row r="6" spans="1:28">
      <c r="A6">
        <v>2</v>
      </c>
      <c r="B6" s="1" t="s">
        <v>525</v>
      </c>
      <c r="E6" s="38" t="s">
        <v>526</v>
      </c>
      <c r="G6" s="3"/>
      <c r="H6" s="9" t="e">
        <f>+' 11-BU Perf'!#REF!</f>
        <v>#REF!</v>
      </c>
      <c r="I6" s="178"/>
      <c r="N6" s="9"/>
      <c r="O6" s="9"/>
      <c r="P6" s="9"/>
      <c r="Q6" s="9"/>
      <c r="R6" s="9"/>
      <c r="S6" s="9"/>
      <c r="T6" s="9"/>
      <c r="U6" s="9"/>
      <c r="V6" s="9"/>
      <c r="W6" s="9"/>
    </row>
    <row r="7" spans="1:28">
      <c r="E7" s="38"/>
      <c r="G7" s="3"/>
      <c r="H7" s="9"/>
      <c r="I7" s="178"/>
      <c r="N7" s="9"/>
      <c r="O7" s="9"/>
      <c r="P7" s="9"/>
      <c r="Q7" s="9"/>
      <c r="R7" s="9"/>
      <c r="S7" s="9"/>
      <c r="T7" s="9"/>
      <c r="U7" s="21"/>
      <c r="V7" s="9"/>
      <c r="W7" s="9"/>
    </row>
    <row r="8" spans="1:28">
      <c r="B8" s="1" t="s">
        <v>527</v>
      </c>
      <c r="E8" s="38" t="s">
        <v>526</v>
      </c>
      <c r="G8" s="3"/>
      <c r="H8" s="9" t="e">
        <f t="shared" ref="H8" si="3">H6/H4</f>
        <v>#REF!</v>
      </c>
      <c r="I8" s="178"/>
      <c r="N8" s="9"/>
      <c r="O8" s="9"/>
      <c r="P8" s="9"/>
      <c r="Q8" s="9"/>
      <c r="R8" s="9"/>
      <c r="S8" s="9"/>
      <c r="T8" s="9"/>
      <c r="U8" s="21"/>
      <c r="V8" s="9"/>
      <c r="W8" s="9"/>
    </row>
    <row r="9" spans="1:28">
      <c r="E9" s="38"/>
      <c r="G9" s="3"/>
      <c r="H9" s="9"/>
      <c r="I9" s="178"/>
      <c r="N9" s="9"/>
      <c r="O9" s="9"/>
      <c r="P9" s="9"/>
      <c r="Q9" s="9"/>
      <c r="R9" s="9"/>
      <c r="S9" s="9"/>
      <c r="T9" s="9"/>
      <c r="U9" s="21"/>
      <c r="V9" s="9"/>
      <c r="W9" s="9"/>
    </row>
    <row r="10" spans="1:28">
      <c r="A10">
        <v>3</v>
      </c>
      <c r="B10" s="1" t="s">
        <v>528</v>
      </c>
      <c r="E10" s="38" t="s">
        <v>336</v>
      </c>
      <c r="G10" s="21"/>
      <c r="H10" s="9">
        <f>'Econ-Perf 1'!H8</f>
        <v>0</v>
      </c>
      <c r="I10" s="178"/>
      <c r="N10" s="9"/>
      <c r="O10" s="9">
        <f>'2_Inc-Stat'!O10</f>
        <v>5511</v>
      </c>
      <c r="P10" s="9">
        <f>'2_Inc-Stat'!P10</f>
        <v>6595</v>
      </c>
      <c r="Q10" s="9">
        <f>'2_Inc-Stat'!Q10</f>
        <v>16463</v>
      </c>
      <c r="R10" s="9">
        <f>'2_Inc-Stat'!R10</f>
        <v>0</v>
      </c>
      <c r="S10" s="9">
        <f>'2_Inc-Stat'!S10</f>
        <v>0</v>
      </c>
      <c r="T10" s="9">
        <f>'2_Inc-Stat'!T10</f>
        <v>0</v>
      </c>
      <c r="U10" s="21"/>
      <c r="V10" s="9"/>
      <c r="W10" s="9"/>
    </row>
    <row r="11" spans="1:28">
      <c r="B11" t="s">
        <v>529</v>
      </c>
      <c r="E11" s="168"/>
      <c r="G11" s="21"/>
      <c r="H11" s="50"/>
      <c r="I11" s="187"/>
      <c r="N11" s="51"/>
      <c r="O11" s="51"/>
      <c r="P11" s="51">
        <f t="shared" ref="P11:T11" si="4">P10/O10-1</f>
        <v>0.19669751406278357</v>
      </c>
      <c r="Q11" s="51">
        <f t="shared" si="4"/>
        <v>1.4962850644427599</v>
      </c>
      <c r="R11" s="51">
        <f t="shared" si="4"/>
        <v>-1</v>
      </c>
      <c r="S11" s="51" t="e">
        <f t="shared" si="4"/>
        <v>#DIV/0!</v>
      </c>
      <c r="T11" s="51" t="e">
        <f t="shared" si="4"/>
        <v>#DIV/0!</v>
      </c>
      <c r="U11" s="196"/>
      <c r="V11" s="9"/>
      <c r="W11" s="9"/>
    </row>
    <row r="12" spans="1:28">
      <c r="E12" s="168"/>
      <c r="G12" s="21"/>
      <c r="H12" s="50"/>
      <c r="I12" s="187"/>
      <c r="N12" s="51"/>
      <c r="O12" s="51"/>
      <c r="P12" s="51"/>
      <c r="Q12" s="51"/>
      <c r="R12" s="51"/>
      <c r="S12" s="51"/>
      <c r="T12" s="51"/>
      <c r="U12" s="21"/>
      <c r="V12" s="9"/>
      <c r="W12" s="9"/>
    </row>
    <row r="13" spans="1:28">
      <c r="B13" t="s">
        <v>530</v>
      </c>
      <c r="E13" s="38" t="s">
        <v>336</v>
      </c>
      <c r="G13" s="21"/>
      <c r="H13" s="9" t="e">
        <f t="shared" ref="H13" si="5">H10/H4</f>
        <v>#DIV/0!</v>
      </c>
      <c r="I13" s="178"/>
      <c r="N13" s="9"/>
      <c r="O13" s="9"/>
      <c r="P13" s="9"/>
      <c r="Q13" s="9"/>
      <c r="R13" s="9"/>
      <c r="S13" s="52" t="e">
        <f t="shared" ref="S13:T13" si="6">S10/S4</f>
        <v>#DIV/0!</v>
      </c>
      <c r="T13" s="52" t="e">
        <f t="shared" si="6"/>
        <v>#DIV/0!</v>
      </c>
      <c r="U13" s="21"/>
      <c r="V13" s="9"/>
      <c r="W13" s="9"/>
    </row>
    <row r="14" spans="1:28">
      <c r="B14" t="s">
        <v>531</v>
      </c>
      <c r="E14" s="38" t="s">
        <v>433</v>
      </c>
      <c r="G14" s="38"/>
      <c r="H14" s="9" t="e">
        <f t="shared" ref="H14" si="7">H10/H6*1000</f>
        <v>#REF!</v>
      </c>
      <c r="I14" s="178"/>
      <c r="N14" s="9"/>
      <c r="O14" s="9"/>
      <c r="P14" s="9"/>
      <c r="Q14" s="9"/>
      <c r="R14" s="9"/>
      <c r="S14" s="9"/>
      <c r="T14" s="9"/>
      <c r="U14" s="21"/>
      <c r="V14" s="9"/>
      <c r="W14" s="9"/>
    </row>
    <row r="15" spans="1:28">
      <c r="E15" s="6"/>
      <c r="H15" s="9"/>
      <c r="I15" s="178"/>
      <c r="N15" s="9"/>
      <c r="O15" s="9"/>
      <c r="P15" s="9"/>
      <c r="Q15" s="9"/>
      <c r="R15" s="9"/>
      <c r="S15" s="9"/>
      <c r="T15" s="9"/>
      <c r="U15" s="21"/>
      <c r="V15" s="9"/>
    </row>
    <row r="16" spans="1:28">
      <c r="A16">
        <v>4</v>
      </c>
      <c r="B16" s="1" t="s">
        <v>532</v>
      </c>
      <c r="E16" s="6"/>
      <c r="H16" s="19"/>
      <c r="I16" s="188"/>
      <c r="N16" s="19"/>
      <c r="O16" s="19"/>
      <c r="P16" s="19"/>
      <c r="Q16" s="19"/>
      <c r="R16" s="19"/>
      <c r="S16" s="19"/>
      <c r="T16" s="19"/>
      <c r="U16" s="196"/>
      <c r="V16" s="9"/>
    </row>
    <row r="17" spans="1:23">
      <c r="B17" t="s">
        <v>533</v>
      </c>
      <c r="E17" s="6"/>
      <c r="H17" s="19"/>
      <c r="I17" s="188"/>
      <c r="N17" s="19"/>
      <c r="O17" s="19"/>
      <c r="P17" s="19"/>
      <c r="Q17" s="19"/>
      <c r="R17" s="19"/>
      <c r="S17" s="19"/>
      <c r="T17" s="19"/>
      <c r="U17" s="196"/>
      <c r="V17" s="9"/>
      <c r="W17" s="9"/>
    </row>
    <row r="18" spans="1:23">
      <c r="E18" s="6"/>
      <c r="H18" s="9"/>
      <c r="I18" s="178"/>
      <c r="N18" s="9"/>
      <c r="O18" s="9"/>
      <c r="P18" s="9"/>
      <c r="Q18" s="9"/>
      <c r="R18" s="9"/>
      <c r="S18" s="9"/>
      <c r="T18" s="9"/>
      <c r="U18" s="21"/>
      <c r="V18" s="9"/>
      <c r="W18" s="9"/>
    </row>
    <row r="19" spans="1:23">
      <c r="A19">
        <v>5</v>
      </c>
      <c r="B19" s="1" t="s">
        <v>534</v>
      </c>
      <c r="E19" s="38" t="s">
        <v>336</v>
      </c>
      <c r="G19" s="21"/>
      <c r="H19" s="9"/>
      <c r="I19" s="178"/>
      <c r="N19" s="9"/>
      <c r="O19" s="9" t="e">
        <f>#REF!</f>
        <v>#REF!</v>
      </c>
      <c r="P19" s="9" t="e">
        <f>#REF!</f>
        <v>#REF!</v>
      </c>
      <c r="Q19" s="9" t="e">
        <f>#REF!</f>
        <v>#REF!</v>
      </c>
      <c r="R19" s="9" t="e">
        <f>#REF!</f>
        <v>#REF!</v>
      </c>
      <c r="S19" s="9" t="e">
        <f>#REF!</f>
        <v>#REF!</v>
      </c>
      <c r="T19" s="9" t="e">
        <f>#REF!</f>
        <v>#REF!</v>
      </c>
      <c r="U19" s="9"/>
      <c r="V19" s="9"/>
      <c r="W19" s="9"/>
    </row>
    <row r="20" spans="1:23">
      <c r="B20" t="s">
        <v>535</v>
      </c>
      <c r="E20" s="168"/>
      <c r="G20" s="21"/>
      <c r="H20" s="9"/>
      <c r="I20" s="178"/>
      <c r="N20" s="9"/>
      <c r="O20" s="9" t="e">
        <f t="shared" ref="O20:T20" si="8">O19-N19</f>
        <v>#REF!</v>
      </c>
      <c r="P20" s="9" t="e">
        <f t="shared" si="8"/>
        <v>#REF!</v>
      </c>
      <c r="Q20" s="9" t="e">
        <f t="shared" si="8"/>
        <v>#REF!</v>
      </c>
      <c r="R20" s="9" t="e">
        <f t="shared" si="8"/>
        <v>#REF!</v>
      </c>
      <c r="S20" s="9" t="e">
        <f t="shared" si="8"/>
        <v>#REF!</v>
      </c>
      <c r="T20" s="9" t="e">
        <f t="shared" si="8"/>
        <v>#REF!</v>
      </c>
      <c r="U20" s="21"/>
      <c r="V20" s="9"/>
      <c r="W20" s="9"/>
    </row>
    <row r="21" spans="1:23">
      <c r="E21" s="6"/>
      <c r="H21" s="9"/>
      <c r="I21" s="178"/>
      <c r="N21" s="9"/>
      <c r="O21" s="9"/>
      <c r="P21" s="9"/>
      <c r="Q21" s="9"/>
      <c r="R21" s="9"/>
      <c r="S21" s="9"/>
      <c r="T21" s="9"/>
      <c r="U21" s="21"/>
      <c r="V21" s="9"/>
      <c r="W21" s="9"/>
    </row>
    <row r="22" spans="1:23">
      <c r="B22" t="s">
        <v>508</v>
      </c>
      <c r="E22" s="38" t="s">
        <v>336</v>
      </c>
      <c r="G22" s="21"/>
      <c r="H22" s="9"/>
      <c r="I22" s="178"/>
      <c r="N22" s="9"/>
      <c r="O22" s="9"/>
      <c r="P22" s="9"/>
      <c r="Q22" s="9"/>
      <c r="R22" s="9"/>
      <c r="S22" s="52" t="e">
        <f t="shared" ref="S22:T22" si="9">S19/S4</f>
        <v>#REF!</v>
      </c>
      <c r="T22" s="52" t="e">
        <f t="shared" si="9"/>
        <v>#REF!</v>
      </c>
      <c r="U22" s="21"/>
      <c r="V22" s="9"/>
      <c r="W22" s="9"/>
    </row>
    <row r="23" spans="1:23">
      <c r="B23" t="s">
        <v>536</v>
      </c>
      <c r="E23" s="38" t="s">
        <v>433</v>
      </c>
      <c r="G23" s="38"/>
      <c r="H23" s="9"/>
      <c r="I23" s="178"/>
      <c r="N23" s="9"/>
      <c r="O23" s="9"/>
      <c r="P23" s="9"/>
      <c r="Q23" s="9"/>
      <c r="R23" s="9"/>
      <c r="S23" s="9"/>
      <c r="T23" s="9"/>
      <c r="U23" s="21"/>
      <c r="V23" s="9"/>
      <c r="W23" s="9"/>
    </row>
    <row r="24" spans="1:23">
      <c r="E24" s="38"/>
      <c r="G24" s="38"/>
      <c r="H24" s="9"/>
      <c r="I24" s="178"/>
      <c r="N24" s="9"/>
      <c r="O24" s="9"/>
      <c r="P24" s="9"/>
      <c r="Q24" s="9"/>
      <c r="R24" s="9"/>
      <c r="S24" s="9"/>
      <c r="T24" s="9"/>
      <c r="U24" s="21"/>
      <c r="V24" s="9"/>
      <c r="W24" s="9"/>
    </row>
    <row r="25" spans="1:23">
      <c r="B25" t="s">
        <v>528</v>
      </c>
      <c r="E25" s="38" t="s">
        <v>336</v>
      </c>
      <c r="G25" s="21"/>
      <c r="H25" s="9">
        <f t="shared" ref="H25" si="10">H10</f>
        <v>0</v>
      </c>
      <c r="I25" s="178"/>
      <c r="N25" s="9"/>
      <c r="O25" s="9">
        <f t="shared" ref="O25:T25" si="11">O10</f>
        <v>5511</v>
      </c>
      <c r="P25" s="9">
        <f t="shared" si="11"/>
        <v>6595</v>
      </c>
      <c r="Q25" s="9">
        <f t="shared" si="11"/>
        <v>16463</v>
      </c>
      <c r="R25" s="9">
        <f t="shared" si="11"/>
        <v>0</v>
      </c>
      <c r="S25" s="9">
        <f t="shared" si="11"/>
        <v>0</v>
      </c>
      <c r="T25" s="9">
        <f t="shared" si="11"/>
        <v>0</v>
      </c>
      <c r="U25" s="21"/>
      <c r="V25" s="9"/>
      <c r="W25" s="9"/>
    </row>
    <row r="26" spans="1:23">
      <c r="B26" t="s">
        <v>534</v>
      </c>
      <c r="E26" s="168"/>
      <c r="G26" s="21"/>
      <c r="H26" s="9"/>
      <c r="I26" s="178"/>
      <c r="N26" s="9"/>
      <c r="O26" s="9" t="e">
        <f t="shared" ref="O26:T26" si="12">O19</f>
        <v>#REF!</v>
      </c>
      <c r="P26" s="9" t="e">
        <f t="shared" si="12"/>
        <v>#REF!</v>
      </c>
      <c r="Q26" s="9" t="e">
        <f t="shared" si="12"/>
        <v>#REF!</v>
      </c>
      <c r="R26" s="9" t="e">
        <f t="shared" si="12"/>
        <v>#REF!</v>
      </c>
      <c r="S26" s="9" t="e">
        <f t="shared" si="12"/>
        <v>#REF!</v>
      </c>
      <c r="T26" s="9" t="e">
        <f t="shared" si="12"/>
        <v>#REF!</v>
      </c>
      <c r="U26" s="21"/>
      <c r="V26" s="9"/>
      <c r="W26" s="9"/>
    </row>
    <row r="27" spans="1:23">
      <c r="E27" s="50"/>
      <c r="G27" s="9"/>
      <c r="H27" s="9"/>
      <c r="I27" s="178"/>
      <c r="N27" s="9"/>
      <c r="O27" s="9"/>
      <c r="P27" s="9"/>
      <c r="Q27" s="9"/>
      <c r="R27" s="9"/>
      <c r="S27" s="9"/>
      <c r="T27" s="9"/>
      <c r="U27" s="21"/>
      <c r="V27" s="9"/>
      <c r="W27" s="9"/>
    </row>
    <row r="28" spans="1:23">
      <c r="B28" s="1" t="s">
        <v>537</v>
      </c>
      <c r="F28" s="50"/>
      <c r="G28" s="9"/>
      <c r="H28" s="19"/>
      <c r="I28" s="188"/>
      <c r="N28" s="19"/>
      <c r="O28" s="19" t="e">
        <f t="shared" ref="O28:T28" si="13">O26/O25</f>
        <v>#REF!</v>
      </c>
      <c r="P28" s="19" t="e">
        <f t="shared" si="13"/>
        <v>#REF!</v>
      </c>
      <c r="Q28" s="19" t="e">
        <f t="shared" si="13"/>
        <v>#REF!</v>
      </c>
      <c r="R28" s="19" t="e">
        <f t="shared" si="13"/>
        <v>#REF!</v>
      </c>
      <c r="S28" s="19" t="e">
        <f t="shared" si="13"/>
        <v>#REF!</v>
      </c>
      <c r="T28" s="19" t="e">
        <f t="shared" si="13"/>
        <v>#REF!</v>
      </c>
      <c r="U28" s="196"/>
      <c r="V28" s="9"/>
      <c r="W28" s="9"/>
    </row>
    <row r="29" spans="1:23">
      <c r="F29" s="50"/>
      <c r="G29" s="9"/>
      <c r="H29" s="9"/>
      <c r="I29" s="178"/>
      <c r="N29" s="9"/>
      <c r="O29" s="9"/>
      <c r="P29" s="9"/>
      <c r="Q29" s="9"/>
      <c r="R29" s="9"/>
      <c r="S29" s="9"/>
      <c r="T29" s="9"/>
      <c r="U29" s="21"/>
      <c r="V29" s="9"/>
      <c r="W29" s="9"/>
    </row>
    <row r="30" spans="1:23">
      <c r="A30">
        <v>6</v>
      </c>
      <c r="B30" t="s">
        <v>538</v>
      </c>
      <c r="E30" s="38" t="s">
        <v>336</v>
      </c>
      <c r="G30" s="21"/>
      <c r="H30" s="9"/>
      <c r="I30" s="178"/>
      <c r="N30" s="9"/>
      <c r="O30" s="9"/>
      <c r="P30" s="9">
        <f>O10</f>
        <v>5511</v>
      </c>
      <c r="Q30" s="9">
        <f t="shared" ref="Q30:T30" si="14">P10</f>
        <v>6595</v>
      </c>
      <c r="R30" s="9">
        <f t="shared" si="14"/>
        <v>16463</v>
      </c>
      <c r="S30" s="9">
        <f t="shared" si="14"/>
        <v>0</v>
      </c>
      <c r="T30" s="9">
        <f t="shared" si="14"/>
        <v>0</v>
      </c>
      <c r="U30" s="21"/>
      <c r="V30" s="9"/>
      <c r="W30" s="9"/>
    </row>
    <row r="31" spans="1:23">
      <c r="B31" t="s">
        <v>539</v>
      </c>
      <c r="E31" s="50"/>
      <c r="G31" s="9"/>
      <c r="H31" s="9"/>
      <c r="I31" s="178"/>
      <c r="N31" s="9"/>
      <c r="O31" s="9" t="e">
        <f t="shared" ref="O31:T31" si="15">O20</f>
        <v>#REF!</v>
      </c>
      <c r="P31" s="9" t="e">
        <f t="shared" si="15"/>
        <v>#REF!</v>
      </c>
      <c r="Q31" s="9" t="e">
        <f t="shared" si="15"/>
        <v>#REF!</v>
      </c>
      <c r="R31" s="9" t="e">
        <f t="shared" si="15"/>
        <v>#REF!</v>
      </c>
      <c r="S31" s="9" t="e">
        <f t="shared" si="15"/>
        <v>#REF!</v>
      </c>
      <c r="T31" s="9" t="e">
        <f t="shared" si="15"/>
        <v>#REF!</v>
      </c>
      <c r="U31" s="21"/>
      <c r="V31" s="9"/>
      <c r="W31" s="9"/>
    </row>
    <row r="32" spans="1:23">
      <c r="E32" s="50"/>
      <c r="G32" s="9"/>
      <c r="H32" s="9"/>
      <c r="I32" s="178"/>
      <c r="N32" s="9"/>
      <c r="O32" s="9"/>
      <c r="P32" s="9"/>
      <c r="Q32" s="9"/>
      <c r="R32" s="9"/>
      <c r="S32" s="9"/>
      <c r="T32" s="9"/>
      <c r="U32" s="21"/>
      <c r="V32" s="9"/>
      <c r="W32" s="9"/>
    </row>
    <row r="33" spans="1:23">
      <c r="B33" s="1" t="s">
        <v>540</v>
      </c>
      <c r="E33" s="50"/>
      <c r="G33" s="9"/>
      <c r="H33" s="9"/>
      <c r="I33" s="188"/>
      <c r="N33" s="19"/>
      <c r="O33" s="19"/>
      <c r="P33" s="19" t="e">
        <f t="shared" ref="P33:T33" si="16">P31/P30</f>
        <v>#REF!</v>
      </c>
      <c r="Q33" s="19" t="e">
        <f t="shared" si="16"/>
        <v>#REF!</v>
      </c>
      <c r="R33" s="19" t="e">
        <f t="shared" si="16"/>
        <v>#REF!</v>
      </c>
      <c r="S33" s="19" t="e">
        <f t="shared" si="16"/>
        <v>#REF!</v>
      </c>
      <c r="T33" s="19" t="e">
        <f t="shared" si="16"/>
        <v>#REF!</v>
      </c>
      <c r="U33" s="196"/>
      <c r="V33" s="9"/>
      <c r="W33" s="9"/>
    </row>
    <row r="34" spans="1:23">
      <c r="E34" s="38"/>
      <c r="G34" s="38"/>
      <c r="H34" s="9"/>
      <c r="I34" s="178"/>
      <c r="N34" s="9"/>
      <c r="O34" s="9"/>
      <c r="P34" s="9"/>
      <c r="Q34" s="9"/>
      <c r="R34" s="9"/>
      <c r="S34" s="9"/>
      <c r="T34" s="9"/>
      <c r="U34" s="21"/>
      <c r="V34" s="9"/>
      <c r="W34" s="9"/>
    </row>
    <row r="35" spans="1:23">
      <c r="A35">
        <v>7</v>
      </c>
      <c r="B35" s="1" t="s">
        <v>541</v>
      </c>
      <c r="E35" s="38" t="s">
        <v>336</v>
      </c>
      <c r="G35" s="21"/>
      <c r="H35" s="10">
        <f>'Mark-Expect'!H21</f>
        <v>0</v>
      </c>
      <c r="I35" s="179"/>
      <c r="N35" s="10"/>
      <c r="O35" s="10" t="e">
        <f>#REF!</f>
        <v>#REF!</v>
      </c>
      <c r="P35" s="10" t="e">
        <f>#REF!</f>
        <v>#REF!</v>
      </c>
      <c r="Q35" s="10" t="e">
        <f>#REF!</f>
        <v>#REF!</v>
      </c>
      <c r="R35" s="10" t="e">
        <f>#REF!</f>
        <v>#REF!</v>
      </c>
      <c r="S35" s="10" t="e">
        <f>#REF!</f>
        <v>#REF!</v>
      </c>
      <c r="T35" s="10" t="e">
        <f>#REF!</f>
        <v>#REF!</v>
      </c>
      <c r="U35" s="21"/>
      <c r="V35" s="9"/>
      <c r="W35" s="9"/>
    </row>
    <row r="36" spans="1:23">
      <c r="B36" s="22" t="s">
        <v>542</v>
      </c>
      <c r="E36" s="6"/>
      <c r="H36" s="9" t="e">
        <f>'Mark-Expect'!#REF!</f>
        <v>#REF!</v>
      </c>
      <c r="I36" s="178"/>
      <c r="N36" s="178"/>
      <c r="O36" s="9" t="e">
        <f>#REF!-#REF!</f>
        <v>#REF!</v>
      </c>
      <c r="P36" s="9" t="e">
        <f>#REF!-#REF!</f>
        <v>#REF!</v>
      </c>
      <c r="Q36" s="9" t="e">
        <f>#REF!-#REF!</f>
        <v>#REF!</v>
      </c>
      <c r="R36" s="9" t="e">
        <f>#REF!-#REF!</f>
        <v>#REF!</v>
      </c>
      <c r="S36" s="9" t="e">
        <f>#REF!-#REF!</f>
        <v>#REF!</v>
      </c>
      <c r="T36" s="9" t="e">
        <f>#REF!-#REF!</f>
        <v>#REF!</v>
      </c>
      <c r="U36" s="21"/>
      <c r="V36" s="9"/>
      <c r="W36" s="9"/>
    </row>
    <row r="37" spans="1:23">
      <c r="B37" s="22" t="s">
        <v>543</v>
      </c>
      <c r="E37" s="6"/>
      <c r="H37" s="9" t="e">
        <f>'Mark-Expect'!#REF!</f>
        <v>#REF!</v>
      </c>
      <c r="I37" s="178"/>
      <c r="N37" s="9"/>
      <c r="O37" s="9" t="e">
        <f>#REF!</f>
        <v>#REF!</v>
      </c>
      <c r="P37" s="9" t="e">
        <f>#REF!</f>
        <v>#REF!</v>
      </c>
      <c r="Q37" s="9" t="e">
        <f>#REF!</f>
        <v>#REF!</v>
      </c>
      <c r="R37" s="9" t="e">
        <f>#REF!</f>
        <v>#REF!</v>
      </c>
      <c r="S37" s="9" t="e">
        <f>#REF!</f>
        <v>#REF!</v>
      </c>
      <c r="T37" s="9" t="e">
        <f>#REF!</f>
        <v>#REF!</v>
      </c>
      <c r="U37" s="21"/>
      <c r="V37" s="9"/>
      <c r="W37" s="9"/>
    </row>
    <row r="38" spans="1:23">
      <c r="B38" s="22"/>
      <c r="E38" s="6"/>
      <c r="H38" s="9"/>
      <c r="I38" s="178"/>
      <c r="N38" s="9"/>
      <c r="O38" s="9"/>
      <c r="P38" s="9"/>
      <c r="Q38" s="9"/>
      <c r="R38" s="9"/>
      <c r="S38" s="9"/>
      <c r="T38" s="9"/>
      <c r="U38" s="21"/>
      <c r="V38" s="9"/>
      <c r="W38" s="9"/>
    </row>
    <row r="39" spans="1:23">
      <c r="B39" s="22" t="s">
        <v>544</v>
      </c>
      <c r="E39" s="6"/>
      <c r="H39" s="47" t="e">
        <f t="shared" ref="H39" si="17">H36/H35</f>
        <v>#REF!</v>
      </c>
      <c r="I39" s="189"/>
      <c r="N39" s="47"/>
      <c r="O39" s="47" t="e">
        <f t="shared" ref="O39:T39" si="18">O36/O35</f>
        <v>#REF!</v>
      </c>
      <c r="P39" s="47" t="e">
        <f t="shared" si="18"/>
        <v>#REF!</v>
      </c>
      <c r="Q39" s="47" t="e">
        <f t="shared" si="18"/>
        <v>#REF!</v>
      </c>
      <c r="R39" s="47" t="e">
        <f t="shared" si="18"/>
        <v>#REF!</v>
      </c>
      <c r="S39" s="47" t="e">
        <f t="shared" si="18"/>
        <v>#REF!</v>
      </c>
      <c r="T39" s="47" t="e">
        <f t="shared" si="18"/>
        <v>#REF!</v>
      </c>
      <c r="U39" s="197"/>
      <c r="V39" s="9"/>
      <c r="W39" s="33"/>
    </row>
    <row r="40" spans="1:23">
      <c r="E40" s="6"/>
      <c r="H40" s="9"/>
      <c r="I40" s="178"/>
      <c r="N40" s="9"/>
      <c r="O40" s="9"/>
      <c r="P40" s="9"/>
      <c r="Q40" s="9"/>
      <c r="R40" s="9"/>
      <c r="S40" s="9"/>
      <c r="T40" s="9"/>
      <c r="U40" s="21"/>
      <c r="V40" s="9"/>
      <c r="W40" s="33"/>
    </row>
    <row r="41" spans="1:23">
      <c r="B41" t="s">
        <v>545</v>
      </c>
      <c r="E41" s="38" t="s">
        <v>336</v>
      </c>
      <c r="G41" s="21"/>
      <c r="H41" s="9" t="e">
        <f t="shared" ref="H41" si="19">H35/H4</f>
        <v>#DIV/0!</v>
      </c>
      <c r="I41" s="178"/>
      <c r="N41" s="9"/>
      <c r="O41" s="9"/>
      <c r="P41" s="9"/>
      <c r="Q41" s="9"/>
      <c r="R41" s="9"/>
      <c r="S41" s="52" t="e">
        <f t="shared" ref="S41:T41" si="20">S35/S4</f>
        <v>#REF!</v>
      </c>
      <c r="T41" s="52" t="e">
        <f t="shared" si="20"/>
        <v>#REF!</v>
      </c>
      <c r="U41" s="21"/>
      <c r="V41" s="9"/>
      <c r="W41" s="33"/>
    </row>
    <row r="42" spans="1:23">
      <c r="B42" t="s">
        <v>546</v>
      </c>
      <c r="E42" s="168" t="s">
        <v>433</v>
      </c>
      <c r="G42" s="21"/>
      <c r="H42" s="9" t="e">
        <f t="shared" ref="H42" si="21">H35/H6*1000</f>
        <v>#REF!</v>
      </c>
      <c r="I42" s="178"/>
      <c r="N42" s="9"/>
      <c r="O42" s="9"/>
      <c r="P42" s="9"/>
      <c r="Q42" s="9"/>
      <c r="R42" s="9"/>
      <c r="S42" s="9"/>
      <c r="T42" s="9"/>
      <c r="U42" s="21"/>
      <c r="V42" s="9"/>
      <c r="W42" s="33"/>
    </row>
    <row r="43" spans="1:23">
      <c r="E43" s="6"/>
      <c r="H43" s="9"/>
      <c r="I43" s="178"/>
      <c r="N43" s="9"/>
      <c r="O43" s="9"/>
      <c r="P43" s="9"/>
      <c r="Q43" s="9"/>
      <c r="R43" s="9"/>
      <c r="S43" s="9"/>
      <c r="T43" s="9"/>
      <c r="U43" s="21"/>
      <c r="V43" s="9"/>
      <c r="W43" s="33"/>
    </row>
    <row r="44" spans="1:23">
      <c r="B44" t="s">
        <v>547</v>
      </c>
      <c r="E44" s="38"/>
      <c r="G44" s="3"/>
      <c r="H44" s="52" t="e">
        <f t="shared" ref="H44" si="22">H10/H35</f>
        <v>#DIV/0!</v>
      </c>
      <c r="I44" s="190"/>
      <c r="N44" s="52"/>
      <c r="O44" s="52" t="e">
        <f t="shared" ref="O44:T44" si="23">O10/O35</f>
        <v>#REF!</v>
      </c>
      <c r="P44" s="52" t="e">
        <f t="shared" si="23"/>
        <v>#REF!</v>
      </c>
      <c r="Q44" s="52" t="e">
        <f t="shared" si="23"/>
        <v>#REF!</v>
      </c>
      <c r="R44" s="52" t="e">
        <f t="shared" si="23"/>
        <v>#REF!</v>
      </c>
      <c r="S44" s="52" t="e">
        <f t="shared" si="23"/>
        <v>#REF!</v>
      </c>
      <c r="T44" s="52" t="e">
        <f t="shared" si="23"/>
        <v>#REF!</v>
      </c>
      <c r="U44" s="198"/>
      <c r="V44" s="9"/>
      <c r="W44" s="33"/>
    </row>
    <row r="45" spans="1:23">
      <c r="E45" s="6"/>
      <c r="I45" s="181"/>
      <c r="U45" s="21"/>
      <c r="V45" s="9"/>
      <c r="W45" s="33"/>
    </row>
    <row r="46" spans="1:23" ht="13.5" thickBot="1">
      <c r="A46">
        <v>8</v>
      </c>
      <c r="B46" s="1" t="s">
        <v>461</v>
      </c>
      <c r="E46" s="38" t="s">
        <v>336</v>
      </c>
      <c r="G46" s="21"/>
      <c r="H46" s="9">
        <f>H48-H47</f>
        <v>0</v>
      </c>
      <c r="I46" s="178"/>
      <c r="N46" s="9"/>
      <c r="O46" s="9" t="e">
        <f>#REF!</f>
        <v>#REF!</v>
      </c>
      <c r="P46" s="9" t="e">
        <f>#REF!</f>
        <v>#REF!</v>
      </c>
      <c r="Q46" s="9" t="e">
        <f>#REF!</f>
        <v>#REF!</v>
      </c>
      <c r="R46" s="9" t="e">
        <f>#REF!</f>
        <v>#REF!</v>
      </c>
      <c r="S46" s="9" t="e">
        <f>#REF!</f>
        <v>#REF!</v>
      </c>
      <c r="T46" s="9" t="e">
        <f>#REF!</f>
        <v>#REF!</v>
      </c>
      <c r="U46" s="21"/>
      <c r="V46" s="9"/>
      <c r="W46" s="33"/>
    </row>
    <row r="47" spans="1:23">
      <c r="B47" t="s">
        <v>541</v>
      </c>
      <c r="E47" s="6"/>
      <c r="H47" s="10">
        <f t="shared" ref="H47" si="24">H35</f>
        <v>0</v>
      </c>
      <c r="I47" s="179"/>
      <c r="N47" s="10"/>
      <c r="O47" s="10" t="e">
        <f t="shared" ref="O47:T47" si="25">O35</f>
        <v>#REF!</v>
      </c>
      <c r="P47" s="10" t="e">
        <f t="shared" si="25"/>
        <v>#REF!</v>
      </c>
      <c r="Q47" s="10" t="e">
        <f t="shared" si="25"/>
        <v>#REF!</v>
      </c>
      <c r="R47" s="10" t="e">
        <f t="shared" si="25"/>
        <v>#REF!</v>
      </c>
      <c r="S47" s="10" t="e">
        <f t="shared" si="25"/>
        <v>#REF!</v>
      </c>
      <c r="T47" s="10" t="e">
        <f t="shared" si="25"/>
        <v>#REF!</v>
      </c>
      <c r="U47" s="21"/>
      <c r="V47" s="9"/>
      <c r="W47" s="33"/>
    </row>
    <row r="48" spans="1:23">
      <c r="B48" t="s">
        <v>462</v>
      </c>
      <c r="E48" s="6"/>
      <c r="H48" s="9">
        <f>'Mark-Expect'!H15</f>
        <v>0</v>
      </c>
      <c r="I48" s="178"/>
      <c r="N48" s="9"/>
      <c r="O48" s="9" t="e">
        <f t="shared" ref="O48:T48" si="26">O46+O47</f>
        <v>#REF!</v>
      </c>
      <c r="P48" s="9" t="e">
        <f t="shared" si="26"/>
        <v>#REF!</v>
      </c>
      <c r="Q48" s="9" t="e">
        <f t="shared" si="26"/>
        <v>#REF!</v>
      </c>
      <c r="R48" s="9" t="e">
        <f t="shared" si="26"/>
        <v>#REF!</v>
      </c>
      <c r="S48" s="9" t="e">
        <f t="shared" si="26"/>
        <v>#REF!</v>
      </c>
      <c r="T48" s="9" t="e">
        <f t="shared" si="26"/>
        <v>#REF!</v>
      </c>
      <c r="U48" s="21"/>
      <c r="V48" s="9"/>
      <c r="W48" s="33"/>
    </row>
    <row r="49" spans="1:23">
      <c r="E49" s="6"/>
      <c r="H49" s="9"/>
      <c r="I49" s="178"/>
      <c r="N49" s="9"/>
      <c r="O49" s="9"/>
      <c r="P49" s="9"/>
      <c r="Q49" s="9"/>
      <c r="R49" s="9"/>
      <c r="S49" s="9"/>
      <c r="T49" s="9"/>
      <c r="U49" s="21"/>
      <c r="V49" s="9"/>
      <c r="W49" s="33"/>
    </row>
    <row r="50" spans="1:23">
      <c r="B50" t="s">
        <v>548</v>
      </c>
      <c r="E50" s="38" t="s">
        <v>336</v>
      </c>
      <c r="G50" s="21"/>
      <c r="H50" s="9" t="e">
        <f t="shared" ref="H50" si="27">H48/H4</f>
        <v>#DIV/0!</v>
      </c>
      <c r="I50" s="178"/>
      <c r="N50" s="9"/>
      <c r="O50" s="9"/>
      <c r="P50" s="9"/>
      <c r="Q50" s="9"/>
      <c r="R50" s="9"/>
      <c r="S50" s="52" t="e">
        <f t="shared" ref="S50:T50" si="28">S48/S4</f>
        <v>#REF!</v>
      </c>
      <c r="T50" s="52" t="e">
        <f t="shared" si="28"/>
        <v>#REF!</v>
      </c>
      <c r="U50" s="21"/>
      <c r="V50" s="9"/>
      <c r="W50" s="33"/>
    </row>
    <row r="51" spans="1:23">
      <c r="B51" t="s">
        <v>549</v>
      </c>
      <c r="E51" s="38" t="s">
        <v>433</v>
      </c>
      <c r="G51" s="38"/>
      <c r="H51" s="9" t="e">
        <f t="shared" ref="H51" si="29">H48/H6*1000</f>
        <v>#REF!</v>
      </c>
      <c r="I51" s="178"/>
      <c r="N51" s="9"/>
      <c r="O51" s="9"/>
      <c r="P51" s="9"/>
      <c r="Q51" s="9"/>
      <c r="R51" s="9"/>
      <c r="S51" s="9"/>
      <c r="T51" s="9"/>
      <c r="U51" s="21"/>
      <c r="V51" s="9"/>
      <c r="W51" s="33"/>
    </row>
    <row r="52" spans="1:23">
      <c r="E52" s="6"/>
      <c r="H52" s="9"/>
      <c r="I52" s="178"/>
      <c r="N52" s="9"/>
      <c r="O52" s="9"/>
      <c r="P52" s="9"/>
      <c r="Q52" s="9"/>
      <c r="R52" s="9"/>
      <c r="S52" s="9"/>
      <c r="T52" s="9"/>
      <c r="U52" s="21"/>
      <c r="V52" s="9"/>
      <c r="W52" s="33"/>
    </row>
    <row r="53" spans="1:23">
      <c r="B53" t="s">
        <v>550</v>
      </c>
      <c r="E53" s="38" t="s">
        <v>336</v>
      </c>
      <c r="G53" s="21"/>
      <c r="H53" s="9" t="e">
        <f t="shared" ref="H53" si="30">H46/H4</f>
        <v>#DIV/0!</v>
      </c>
      <c r="I53" s="178"/>
      <c r="N53" s="9"/>
      <c r="O53" s="9"/>
      <c r="P53" s="9"/>
      <c r="Q53" s="9"/>
      <c r="R53" s="9"/>
      <c r="S53" s="52" t="e">
        <f t="shared" ref="S53:T53" si="31">S46/S4</f>
        <v>#REF!</v>
      </c>
      <c r="T53" s="52" t="e">
        <f t="shared" si="31"/>
        <v>#REF!</v>
      </c>
      <c r="U53" s="21"/>
      <c r="V53" s="9"/>
      <c r="W53" s="33"/>
    </row>
    <row r="54" spans="1:23">
      <c r="B54" t="s">
        <v>551</v>
      </c>
      <c r="E54" s="38" t="s">
        <v>433</v>
      </c>
      <c r="G54" s="38"/>
      <c r="H54" s="9" t="e">
        <f t="shared" ref="H54" si="32">H46/H6*1000</f>
        <v>#REF!</v>
      </c>
      <c r="I54" s="178"/>
      <c r="N54" s="9"/>
      <c r="O54" s="9"/>
      <c r="P54" s="9"/>
      <c r="Q54" s="9"/>
      <c r="R54" s="9"/>
      <c r="S54" s="9"/>
      <c r="T54" s="9"/>
      <c r="U54" s="21"/>
      <c r="V54" s="9"/>
      <c r="W54" s="33"/>
    </row>
    <row r="55" spans="1:23">
      <c r="E55" s="38"/>
      <c r="G55" s="38"/>
      <c r="H55" s="9"/>
      <c r="I55" s="178"/>
      <c r="N55" s="9"/>
      <c r="O55" s="9"/>
      <c r="P55" s="9"/>
      <c r="Q55" s="9"/>
      <c r="R55" s="9"/>
      <c r="S55" s="9"/>
      <c r="T55" s="9"/>
      <c r="U55" s="21"/>
      <c r="V55" s="9"/>
      <c r="W55" s="33"/>
    </row>
    <row r="56" spans="1:23">
      <c r="A56">
        <v>9</v>
      </c>
      <c r="B56" s="1" t="s">
        <v>552</v>
      </c>
      <c r="E56" s="38"/>
      <c r="G56" s="3"/>
      <c r="H56" s="52" t="e">
        <f t="shared" ref="H56" si="33">H48/H47</f>
        <v>#DIV/0!</v>
      </c>
      <c r="I56" s="190"/>
      <c r="N56" s="52"/>
      <c r="O56" s="52" t="e">
        <f t="shared" ref="O56:T56" si="34">O48/O47</f>
        <v>#REF!</v>
      </c>
      <c r="P56" s="52" t="e">
        <f t="shared" si="34"/>
        <v>#REF!</v>
      </c>
      <c r="Q56" s="52" t="e">
        <f t="shared" si="34"/>
        <v>#REF!</v>
      </c>
      <c r="R56" s="52" t="e">
        <f t="shared" si="34"/>
        <v>#REF!</v>
      </c>
      <c r="S56" s="52" t="e">
        <f t="shared" si="34"/>
        <v>#REF!</v>
      </c>
      <c r="T56" s="52" t="e">
        <f t="shared" si="34"/>
        <v>#REF!</v>
      </c>
      <c r="U56" s="198"/>
      <c r="W56" s="8"/>
    </row>
    <row r="57" spans="1:23">
      <c r="E57" s="6"/>
      <c r="H57" s="9"/>
      <c r="I57" s="178"/>
      <c r="N57" s="9"/>
      <c r="O57" s="9"/>
      <c r="P57" s="9"/>
      <c r="Q57" s="9"/>
      <c r="R57" s="9"/>
      <c r="S57" s="9"/>
      <c r="T57" s="9"/>
      <c r="U57" s="21"/>
      <c r="W57" s="8"/>
    </row>
    <row r="58" spans="1:23">
      <c r="A58">
        <v>10</v>
      </c>
      <c r="B58" s="1" t="s">
        <v>458</v>
      </c>
      <c r="E58" s="38" t="s">
        <v>336</v>
      </c>
      <c r="G58" s="21"/>
      <c r="H58" s="9"/>
      <c r="I58" s="178"/>
      <c r="N58" s="9"/>
      <c r="O58" s="9" t="e">
        <f>#REF!</f>
        <v>#REF!</v>
      </c>
      <c r="P58" s="9" t="e">
        <f>#REF!</f>
        <v>#REF!</v>
      </c>
      <c r="Q58" s="9" t="e">
        <f>#REF!</f>
        <v>#REF!</v>
      </c>
      <c r="R58" s="9" t="e">
        <f>#REF!</f>
        <v>#REF!</v>
      </c>
      <c r="S58" s="9" t="e">
        <f>#REF!</f>
        <v>#REF!</v>
      </c>
      <c r="T58" s="9" t="e">
        <f>#REF!</f>
        <v>#REF!</v>
      </c>
      <c r="U58" s="21"/>
      <c r="W58" s="8"/>
    </row>
    <row r="59" spans="1:23">
      <c r="B59" t="s">
        <v>553</v>
      </c>
      <c r="E59" s="38" t="s">
        <v>336</v>
      </c>
      <c r="G59" s="21"/>
      <c r="H59" s="9"/>
      <c r="I59" s="178"/>
      <c r="N59" s="9"/>
      <c r="O59" s="9" t="e">
        <f t="shared" ref="O59:T59" si="35">O58-N58</f>
        <v>#REF!</v>
      </c>
      <c r="P59" s="9" t="e">
        <f t="shared" si="35"/>
        <v>#REF!</v>
      </c>
      <c r="Q59" s="9" t="e">
        <f t="shared" si="35"/>
        <v>#REF!</v>
      </c>
      <c r="R59" s="9" t="e">
        <f t="shared" si="35"/>
        <v>#REF!</v>
      </c>
      <c r="S59" s="9" t="e">
        <f t="shared" si="35"/>
        <v>#REF!</v>
      </c>
      <c r="T59" s="9" t="e">
        <f t="shared" si="35"/>
        <v>#REF!</v>
      </c>
      <c r="U59" s="21"/>
      <c r="W59" s="8"/>
    </row>
    <row r="60" spans="1:23">
      <c r="E60" s="38"/>
      <c r="H60" s="9"/>
      <c r="I60" s="178"/>
      <c r="N60" s="9"/>
      <c r="O60" s="9"/>
      <c r="P60" s="9"/>
      <c r="Q60" s="9"/>
      <c r="R60" s="9"/>
      <c r="S60" s="9"/>
      <c r="T60" s="9"/>
      <c r="U60" s="21"/>
    </row>
    <row r="61" spans="1:23">
      <c r="A61">
        <v>11</v>
      </c>
      <c r="B61" s="1" t="s">
        <v>554</v>
      </c>
      <c r="E61" s="38" t="s">
        <v>336</v>
      </c>
      <c r="G61" s="21"/>
      <c r="H61" s="9"/>
      <c r="I61" s="178"/>
      <c r="N61" s="9"/>
      <c r="O61" s="9" t="e">
        <f>#REF!</f>
        <v>#REF!</v>
      </c>
      <c r="P61" s="9" t="e">
        <f>#REF!</f>
        <v>#REF!</v>
      </c>
      <c r="Q61" s="9" t="e">
        <f>#REF!</f>
        <v>#REF!</v>
      </c>
      <c r="R61" s="9" t="e">
        <f>#REF!</f>
        <v>#REF!</v>
      </c>
      <c r="S61" s="9" t="e">
        <f>#REF!</f>
        <v>#REF!</v>
      </c>
      <c r="T61" s="9" t="e">
        <f>#REF!</f>
        <v>#REF!</v>
      </c>
      <c r="U61" s="21"/>
    </row>
    <row r="62" spans="1:23">
      <c r="B62" s="1"/>
      <c r="E62" s="168"/>
      <c r="G62" s="21"/>
      <c r="H62" s="9"/>
      <c r="I62" s="178"/>
      <c r="N62" s="9"/>
      <c r="O62" s="9"/>
      <c r="P62" s="9"/>
      <c r="Q62" s="9"/>
      <c r="R62" s="9"/>
      <c r="S62" s="9"/>
      <c r="T62" s="9"/>
      <c r="U62" s="21"/>
    </row>
    <row r="63" spans="1:23">
      <c r="B63" s="1" t="s">
        <v>555</v>
      </c>
      <c r="E63" s="6"/>
      <c r="H63" s="19"/>
      <c r="I63" s="188"/>
      <c r="N63" s="19"/>
      <c r="O63" s="19" t="e">
        <f t="shared" ref="O63:T63" si="36">O58/O61</f>
        <v>#REF!</v>
      </c>
      <c r="P63" s="19" t="e">
        <f t="shared" si="36"/>
        <v>#REF!</v>
      </c>
      <c r="Q63" s="19" t="e">
        <f t="shared" si="36"/>
        <v>#REF!</v>
      </c>
      <c r="R63" s="19" t="e">
        <f t="shared" si="36"/>
        <v>#REF!</v>
      </c>
      <c r="S63" s="19" t="e">
        <f t="shared" si="36"/>
        <v>#REF!</v>
      </c>
      <c r="T63" s="19" t="e">
        <f t="shared" si="36"/>
        <v>#REF!</v>
      </c>
      <c r="U63" s="196"/>
    </row>
    <row r="64" spans="1:23">
      <c r="B64" s="1" t="s">
        <v>434</v>
      </c>
      <c r="E64" s="6"/>
      <c r="H64" s="48"/>
      <c r="I64" s="191"/>
      <c r="N64" s="48"/>
      <c r="O64" s="48" t="e">
        <f>#REF!</f>
        <v>#REF!</v>
      </c>
      <c r="P64" s="48" t="e">
        <f>#REF!</f>
        <v>#REF!</v>
      </c>
      <c r="Q64" s="48" t="e">
        <f>#REF!</f>
        <v>#REF!</v>
      </c>
      <c r="R64" s="48" t="e">
        <f>#REF!</f>
        <v>#REF!</v>
      </c>
      <c r="S64" s="48" t="e">
        <f>#REF!</f>
        <v>#REF!</v>
      </c>
      <c r="T64" s="48" t="e">
        <f>#REF!</f>
        <v>#REF!</v>
      </c>
      <c r="U64" s="196"/>
      <c r="V64" s="9"/>
      <c r="W64" s="9"/>
    </row>
    <row r="65" spans="1:23">
      <c r="B65" s="1" t="s">
        <v>556</v>
      </c>
      <c r="E65" s="6"/>
      <c r="H65" s="19"/>
      <c r="I65" s="188"/>
      <c r="N65" s="19"/>
      <c r="O65" s="19" t="e">
        <f t="shared" ref="O65:T65" si="37">O63-O64</f>
        <v>#REF!</v>
      </c>
      <c r="P65" s="19" t="e">
        <f t="shared" si="37"/>
        <v>#REF!</v>
      </c>
      <c r="Q65" s="19" t="e">
        <f t="shared" si="37"/>
        <v>#REF!</v>
      </c>
      <c r="R65" s="19" t="e">
        <f t="shared" si="37"/>
        <v>#REF!</v>
      </c>
      <c r="S65" s="19" t="e">
        <f t="shared" si="37"/>
        <v>#REF!</v>
      </c>
      <c r="T65" s="19" t="e">
        <f t="shared" si="37"/>
        <v>#REF!</v>
      </c>
      <c r="U65" s="196"/>
      <c r="V65" s="9"/>
      <c r="W65" s="19"/>
    </row>
    <row r="66" spans="1:23">
      <c r="B66" s="1"/>
      <c r="E66" s="6"/>
      <c r="H66" s="19"/>
      <c r="I66" s="188"/>
      <c r="N66" s="19"/>
      <c r="O66" s="19"/>
      <c r="P66" s="19"/>
      <c r="Q66" s="19"/>
      <c r="R66" s="19"/>
      <c r="S66" s="19"/>
      <c r="T66" s="19"/>
      <c r="U66" s="196"/>
      <c r="V66" s="9"/>
      <c r="W66" s="19"/>
    </row>
    <row r="67" spans="1:23">
      <c r="B67" s="1" t="s">
        <v>557</v>
      </c>
      <c r="E67" s="6"/>
      <c r="H67" s="19"/>
      <c r="I67" s="188"/>
      <c r="N67" s="19"/>
      <c r="O67" s="313" t="e">
        <f>O63/O64</f>
        <v>#REF!</v>
      </c>
      <c r="P67" s="313" t="e">
        <f t="shared" ref="P67:T67" si="38">P63/P64</f>
        <v>#REF!</v>
      </c>
      <c r="Q67" s="313" t="e">
        <f t="shared" si="38"/>
        <v>#REF!</v>
      </c>
      <c r="R67" s="313" t="e">
        <f t="shared" si="38"/>
        <v>#REF!</v>
      </c>
      <c r="S67" s="313" t="e">
        <f t="shared" si="38"/>
        <v>#REF!</v>
      </c>
      <c r="T67" s="313" t="e">
        <f t="shared" si="38"/>
        <v>#REF!</v>
      </c>
      <c r="U67" s="196"/>
      <c r="V67" s="9"/>
      <c r="W67" s="19"/>
    </row>
    <row r="68" spans="1:23">
      <c r="E68" s="6"/>
      <c r="H68" s="19"/>
      <c r="I68" s="188"/>
      <c r="N68" s="19"/>
      <c r="O68" s="19"/>
      <c r="P68" s="19"/>
      <c r="Q68" s="19"/>
      <c r="R68" s="19"/>
      <c r="S68" s="19"/>
      <c r="T68" s="19"/>
      <c r="U68" s="21"/>
      <c r="V68" s="9"/>
      <c r="W68" s="9"/>
    </row>
    <row r="69" spans="1:23">
      <c r="A69">
        <v>12</v>
      </c>
      <c r="B69" s="1" t="s">
        <v>558</v>
      </c>
      <c r="E69" s="38" t="s">
        <v>336</v>
      </c>
      <c r="G69" s="21"/>
      <c r="H69" s="9"/>
      <c r="I69" s="178"/>
      <c r="N69" s="9"/>
      <c r="O69" s="9" t="e">
        <f>O47-N47</f>
        <v>#REF!</v>
      </c>
      <c r="P69" s="9" t="e">
        <f t="shared" ref="P69" si="39">P47-O47</f>
        <v>#REF!</v>
      </c>
      <c r="Q69" s="9" t="e">
        <f t="shared" ref="Q69" si="40">Q47-P47</f>
        <v>#REF!</v>
      </c>
      <c r="R69" s="9" t="e">
        <f t="shared" ref="R69" si="41">R47-Q47</f>
        <v>#REF!</v>
      </c>
      <c r="S69" s="9" t="e">
        <f t="shared" ref="S69" si="42">S47-R47</f>
        <v>#REF!</v>
      </c>
      <c r="T69" s="9" t="e">
        <f t="shared" ref="T69" si="43">T47-S47</f>
        <v>#REF!</v>
      </c>
      <c r="U69" s="21"/>
      <c r="V69" s="9"/>
      <c r="W69" s="9"/>
    </row>
    <row r="70" spans="1:23">
      <c r="B70" t="s">
        <v>559</v>
      </c>
      <c r="E70" s="168"/>
      <c r="G70" s="21"/>
      <c r="H70" s="9"/>
      <c r="I70" s="178"/>
      <c r="N70" s="9"/>
      <c r="O70" s="9"/>
      <c r="P70" s="9"/>
      <c r="Q70" s="9"/>
      <c r="R70" s="9"/>
      <c r="S70" s="9" t="e">
        <f>S69/S4</f>
        <v>#REF!</v>
      </c>
      <c r="T70" s="9" t="e">
        <f>T69/T4</f>
        <v>#REF!</v>
      </c>
      <c r="U70" s="21"/>
      <c r="V70" s="9"/>
      <c r="W70" s="9"/>
    </row>
    <row r="71" spans="1:23">
      <c r="E71" s="168"/>
      <c r="G71" s="21"/>
      <c r="H71" s="9"/>
      <c r="I71" s="178"/>
      <c r="N71" s="9"/>
      <c r="O71" s="9"/>
      <c r="P71" s="9"/>
      <c r="Q71" s="9"/>
      <c r="R71" s="9"/>
      <c r="S71" s="9"/>
      <c r="T71" s="9"/>
      <c r="U71" s="21"/>
      <c r="V71" s="9"/>
      <c r="W71" s="9"/>
    </row>
    <row r="72" spans="1:23">
      <c r="A72">
        <v>13</v>
      </c>
      <c r="B72" s="1" t="s">
        <v>459</v>
      </c>
      <c r="E72" s="168"/>
      <c r="G72" s="21"/>
      <c r="H72" s="9"/>
      <c r="I72" s="178"/>
      <c r="N72" s="9"/>
      <c r="O72" s="9" t="e">
        <f>#REF!</f>
        <v>#REF!</v>
      </c>
      <c r="P72" s="9" t="e">
        <f>#REF!</f>
        <v>#REF!</v>
      </c>
      <c r="Q72" s="9" t="e">
        <f>#REF!</f>
        <v>#REF!</v>
      </c>
      <c r="R72" s="9" t="e">
        <f>#REF!</f>
        <v>#REF!</v>
      </c>
      <c r="S72" s="9" t="e">
        <f>#REF!</f>
        <v>#REF!</v>
      </c>
      <c r="T72" s="9" t="e">
        <f>#REF!</f>
        <v>#REF!</v>
      </c>
      <c r="U72" s="21"/>
      <c r="V72" s="9"/>
      <c r="W72" s="9"/>
    </row>
    <row r="73" spans="1:23">
      <c r="A73" s="4"/>
      <c r="B73" s="4"/>
      <c r="C73" s="4"/>
      <c r="D73" s="4"/>
      <c r="E73" s="169"/>
      <c r="G73" s="10"/>
      <c r="H73" s="10"/>
      <c r="I73" s="179"/>
      <c r="N73" s="10"/>
      <c r="O73" s="10"/>
      <c r="P73" s="10"/>
      <c r="Q73" s="10"/>
      <c r="R73" s="10"/>
      <c r="S73" s="10"/>
      <c r="T73" s="10"/>
      <c r="U73" s="100"/>
      <c r="V73" s="10"/>
      <c r="W73" s="9"/>
    </row>
    <row r="74" spans="1:23">
      <c r="W74" s="9"/>
    </row>
    <row r="75" spans="1:23">
      <c r="B75" s="1" t="s">
        <v>560</v>
      </c>
      <c r="I75" s="14"/>
      <c r="N75" s="14"/>
      <c r="O75" s="14"/>
      <c r="P75" s="14"/>
      <c r="Q75" s="14"/>
      <c r="R75" s="14"/>
      <c r="S75" s="14"/>
      <c r="T75" s="14"/>
      <c r="W75" s="9"/>
    </row>
    <row r="76" spans="1:23">
      <c r="B76" t="s">
        <v>528</v>
      </c>
      <c r="E76" s="38" t="s">
        <v>336</v>
      </c>
      <c r="I76" s="218"/>
      <c r="N76" s="218"/>
      <c r="O76" s="218">
        <f>'2_Inc-Stat'!O10</f>
        <v>5511</v>
      </c>
      <c r="P76" s="218">
        <f>'2_Inc-Stat'!P10</f>
        <v>6595</v>
      </c>
      <c r="Q76" s="218">
        <f>'2_Inc-Stat'!Q10</f>
        <v>16463</v>
      </c>
      <c r="R76" s="218">
        <f>'2_Inc-Stat'!R10</f>
        <v>0</v>
      </c>
      <c r="S76" s="218">
        <f>'2_Inc-Stat'!S10</f>
        <v>0</v>
      </c>
      <c r="T76" s="218">
        <f>'2_Inc-Stat'!T10</f>
        <v>0</v>
      </c>
      <c r="U76" s="218"/>
      <c r="W76" s="9"/>
    </row>
    <row r="77" spans="1:23">
      <c r="I77" s="217"/>
      <c r="N77" s="217"/>
      <c r="O77" s="217"/>
      <c r="P77" s="217"/>
      <c r="Q77" s="217"/>
      <c r="R77" s="217"/>
      <c r="S77" s="217"/>
      <c r="T77" s="217"/>
      <c r="W77" s="9"/>
    </row>
    <row r="78" spans="1:23">
      <c r="B78" t="s">
        <v>561</v>
      </c>
      <c r="I78" s="5"/>
      <c r="N78" s="5"/>
      <c r="O78" s="5"/>
      <c r="P78" s="5"/>
      <c r="Q78" s="5"/>
      <c r="R78" s="5"/>
      <c r="S78" s="5"/>
      <c r="T78" s="5"/>
      <c r="U78" s="5"/>
      <c r="W78" s="9"/>
    </row>
    <row r="79" spans="1:23">
      <c r="B79" t="s">
        <v>70</v>
      </c>
      <c r="W79" s="9"/>
    </row>
    <row r="80" spans="1:23">
      <c r="B80" t="s">
        <v>562</v>
      </c>
      <c r="I80" s="5"/>
      <c r="N80" s="5"/>
      <c r="O80" s="5"/>
      <c r="P80" s="5"/>
      <c r="Q80" s="5"/>
      <c r="R80" s="5"/>
      <c r="S80" s="5"/>
      <c r="T80" s="5"/>
      <c r="U80" s="5"/>
    </row>
    <row r="81" spans="2:21">
      <c r="B81" t="s">
        <v>563</v>
      </c>
    </row>
    <row r="82" spans="2:21">
      <c r="B82" t="s">
        <v>564</v>
      </c>
    </row>
    <row r="83" spans="2:21">
      <c r="B83" t="s">
        <v>565</v>
      </c>
    </row>
    <row r="84" spans="2:21">
      <c r="B84" t="s">
        <v>566</v>
      </c>
    </row>
    <row r="85" spans="2:21">
      <c r="B85" t="s">
        <v>567</v>
      </c>
      <c r="I85" s="4"/>
      <c r="N85" s="4"/>
      <c r="O85" s="4"/>
      <c r="P85" s="4"/>
      <c r="Q85" s="4"/>
      <c r="R85" s="4"/>
      <c r="S85" s="4"/>
      <c r="T85" s="4"/>
      <c r="U85" s="4"/>
    </row>
    <row r="86" spans="2:21">
      <c r="B86" t="s">
        <v>71</v>
      </c>
      <c r="I86" s="5"/>
      <c r="N86" s="5"/>
      <c r="O86" s="5"/>
      <c r="P86" s="5"/>
      <c r="Q86" s="5"/>
      <c r="R86" s="5"/>
      <c r="S86" s="5"/>
      <c r="T86" s="5"/>
      <c r="U86" s="5"/>
    </row>
    <row r="88" spans="2:21">
      <c r="B88" s="1" t="s">
        <v>568</v>
      </c>
      <c r="I88" s="24"/>
      <c r="N88" s="24"/>
      <c r="O88" s="24" t="e">
        <f>O46/O25</f>
        <v>#REF!</v>
      </c>
      <c r="P88" s="24" t="e">
        <f t="shared" ref="P88:T88" si="44">P46/P25</f>
        <v>#REF!</v>
      </c>
      <c r="Q88" s="24" t="e">
        <f t="shared" si="44"/>
        <v>#REF!</v>
      </c>
      <c r="R88" s="24" t="e">
        <f t="shared" si="44"/>
        <v>#REF!</v>
      </c>
      <c r="S88" s="24" t="e">
        <f t="shared" si="44"/>
        <v>#REF!</v>
      </c>
      <c r="T88" s="24" t="e">
        <f t="shared" si="44"/>
        <v>#REF!</v>
      </c>
      <c r="U88" s="24"/>
    </row>
    <row r="90" spans="2:21">
      <c r="B90" s="1" t="s">
        <v>569</v>
      </c>
      <c r="I90" s="24"/>
      <c r="N90" s="24"/>
      <c r="O90" s="24" t="e">
        <f>O58/O48</f>
        <v>#REF!</v>
      </c>
      <c r="P90" s="24" t="e">
        <f t="shared" ref="P90:T90" si="45">P58/P48</f>
        <v>#REF!</v>
      </c>
      <c r="Q90" s="24" t="e">
        <f t="shared" si="45"/>
        <v>#REF!</v>
      </c>
      <c r="R90" s="24" t="e">
        <f t="shared" si="45"/>
        <v>#REF!</v>
      </c>
      <c r="S90" s="24" t="e">
        <f t="shared" si="45"/>
        <v>#REF!</v>
      </c>
      <c r="T90" s="24" t="e">
        <f t="shared" si="45"/>
        <v>#REF!</v>
      </c>
      <c r="U90" s="24"/>
    </row>
    <row r="92" spans="2:21">
      <c r="B92" t="s">
        <v>570</v>
      </c>
      <c r="I92" s="7"/>
      <c r="N92" s="7"/>
      <c r="O92" s="7" t="e">
        <f t="shared" ref="O92:T92" si="46">1/O90</f>
        <v>#REF!</v>
      </c>
      <c r="P92" s="7" t="e">
        <f t="shared" si="46"/>
        <v>#REF!</v>
      </c>
      <c r="Q92" s="7" t="e">
        <f t="shared" si="46"/>
        <v>#REF!</v>
      </c>
      <c r="R92" s="7" t="e">
        <f t="shared" si="46"/>
        <v>#REF!</v>
      </c>
      <c r="S92" s="7" t="e">
        <f t="shared" si="46"/>
        <v>#REF!</v>
      </c>
      <c r="T92" s="7" t="e">
        <f t="shared" si="46"/>
        <v>#REF!</v>
      </c>
      <c r="U92" s="7"/>
    </row>
    <row r="94" spans="2:21">
      <c r="B94" s="1" t="s">
        <v>571</v>
      </c>
      <c r="N94" s="9"/>
      <c r="O94" s="9" t="e">
        <f>#REF!</f>
        <v>#REF!</v>
      </c>
      <c r="P94" s="9" t="e">
        <f>#REF!</f>
        <v>#REF!</v>
      </c>
      <c r="Q94" s="9" t="e">
        <f>#REF!</f>
        <v>#REF!</v>
      </c>
      <c r="R94" s="9" t="e">
        <f>#REF!</f>
        <v>#REF!</v>
      </c>
      <c r="S94" s="9" t="e">
        <f>#REF!</f>
        <v>#REF!</v>
      </c>
      <c r="T94" s="9" t="e">
        <f>#REF!</f>
        <v>#REF!</v>
      </c>
    </row>
    <row r="95" spans="2:21">
      <c r="N95" s="9"/>
      <c r="O95" s="9"/>
      <c r="P95" s="9"/>
      <c r="Q95" s="9"/>
      <c r="R95" s="9"/>
      <c r="S95" s="9"/>
      <c r="T95" s="9"/>
    </row>
    <row r="96" spans="2:21">
      <c r="B96" t="s">
        <v>572</v>
      </c>
      <c r="N96" s="19"/>
      <c r="O96" s="19" t="e">
        <f>O94/O10</f>
        <v>#REF!</v>
      </c>
      <c r="P96" s="19" t="e">
        <f t="shared" ref="P96:T96" si="47">P94/P10</f>
        <v>#REF!</v>
      </c>
      <c r="Q96" s="19" t="e">
        <f t="shared" si="47"/>
        <v>#REF!</v>
      </c>
      <c r="R96" s="19" t="e">
        <f t="shared" si="47"/>
        <v>#REF!</v>
      </c>
      <c r="S96" s="19" t="e">
        <f t="shared" si="47"/>
        <v>#REF!</v>
      </c>
      <c r="T96" s="19" t="e">
        <f t="shared" si="47"/>
        <v>#REF!</v>
      </c>
    </row>
    <row r="97" spans="1:21">
      <c r="N97" s="9"/>
      <c r="O97" s="9"/>
      <c r="P97" s="9"/>
      <c r="Q97" s="9"/>
      <c r="R97" s="9"/>
      <c r="S97" s="9"/>
      <c r="T97" s="9"/>
    </row>
    <row r="98" spans="1:21">
      <c r="B98" s="1" t="s">
        <v>573</v>
      </c>
      <c r="E98" s="38" t="s">
        <v>336</v>
      </c>
      <c r="N98" s="9"/>
      <c r="O98" s="9"/>
      <c r="P98" s="9"/>
      <c r="Q98" s="9"/>
      <c r="R98" s="9"/>
      <c r="S98" s="52" t="e">
        <f>S58/S4</f>
        <v>#REF!</v>
      </c>
      <c r="T98" s="52" t="e">
        <f>T58/T4</f>
        <v>#REF!</v>
      </c>
    </row>
    <row r="99" spans="1:21">
      <c r="C99" s="9"/>
      <c r="D99" s="9"/>
      <c r="E99" s="9"/>
      <c r="G99" s="9"/>
      <c r="H99" s="9"/>
      <c r="I99" s="9"/>
      <c r="N99" s="9"/>
      <c r="O99" s="9"/>
      <c r="P99" s="9"/>
      <c r="Q99" s="9"/>
      <c r="R99" s="9"/>
      <c r="S99" s="9"/>
      <c r="T99" s="9"/>
    </row>
    <row r="100" spans="1:21">
      <c r="B100" t="s">
        <v>574</v>
      </c>
      <c r="E100" s="9"/>
      <c r="G100" s="9"/>
      <c r="H100" s="9"/>
      <c r="I100" s="9"/>
      <c r="N100" s="9"/>
      <c r="O100" s="9" t="e">
        <f>#REF!</f>
        <v>#REF!</v>
      </c>
      <c r="P100" s="9" t="e">
        <f>#REF!</f>
        <v>#REF!</v>
      </c>
      <c r="Q100" s="9" t="e">
        <f>#REF!</f>
        <v>#REF!</v>
      </c>
      <c r="R100" s="9" t="e">
        <f>#REF!</f>
        <v>#REF!</v>
      </c>
      <c r="S100" s="9" t="e">
        <f>#REF!</f>
        <v>#REF!</v>
      </c>
      <c r="T100" s="9" t="e">
        <f>#REF!</f>
        <v>#REF!</v>
      </c>
      <c r="U100" s="574"/>
    </row>
    <row r="101" spans="1:21">
      <c r="B101" t="s">
        <v>204</v>
      </c>
      <c r="E101" s="9"/>
      <c r="G101" s="9"/>
      <c r="H101" s="9"/>
      <c r="I101" s="9"/>
      <c r="N101" s="9"/>
      <c r="O101" s="9" t="e">
        <f>#REF!</f>
        <v>#REF!</v>
      </c>
      <c r="P101" s="9" t="e">
        <f>#REF!</f>
        <v>#REF!</v>
      </c>
      <c r="Q101" s="9" t="e">
        <f>#REF!</f>
        <v>#REF!</v>
      </c>
      <c r="R101" s="9" t="e">
        <f>#REF!</f>
        <v>#REF!</v>
      </c>
      <c r="S101" s="9" t="e">
        <f>#REF!</f>
        <v>#REF!</v>
      </c>
      <c r="T101" s="9" t="e">
        <f>#REF!</f>
        <v>#REF!</v>
      </c>
      <c r="U101" s="574"/>
    </row>
    <row r="102" spans="1:21">
      <c r="B102" t="s">
        <v>14</v>
      </c>
      <c r="E102" s="9"/>
      <c r="G102" s="9"/>
      <c r="H102" s="9"/>
      <c r="I102" s="9"/>
      <c r="N102" s="10"/>
      <c r="O102" s="10" t="e">
        <f>#REF!+#REF!</f>
        <v>#REF!</v>
      </c>
      <c r="P102" s="10" t="e">
        <f>#REF!+#REF!</f>
        <v>#REF!</v>
      </c>
      <c r="Q102" s="10" t="e">
        <f>#REF!+#REF!</f>
        <v>#REF!</v>
      </c>
      <c r="R102" s="10" t="e">
        <f>#REF!+#REF!</f>
        <v>#REF!</v>
      </c>
      <c r="S102" s="10" t="e">
        <f>#REF!+#REF!</f>
        <v>#REF!</v>
      </c>
      <c r="T102" s="10" t="e">
        <f>#REF!+#REF!</f>
        <v>#REF!</v>
      </c>
      <c r="U102" s="586"/>
    </row>
    <row r="103" spans="1:21">
      <c r="B103" s="1" t="s">
        <v>457</v>
      </c>
      <c r="E103" s="9"/>
      <c r="G103" s="9"/>
      <c r="H103" s="9"/>
      <c r="I103" s="9"/>
      <c r="N103" s="9"/>
      <c r="O103" s="9" t="e">
        <f t="shared" ref="O103:T103" si="48">SUM(O100:O102)</f>
        <v>#REF!</v>
      </c>
      <c r="P103" s="9" t="e">
        <f t="shared" si="48"/>
        <v>#REF!</v>
      </c>
      <c r="Q103" s="9" t="e">
        <f t="shared" si="48"/>
        <v>#REF!</v>
      </c>
      <c r="R103" s="9" t="e">
        <f t="shared" si="48"/>
        <v>#REF!</v>
      </c>
      <c r="S103" s="9" t="e">
        <f t="shared" si="48"/>
        <v>#REF!</v>
      </c>
      <c r="T103" s="9" t="e">
        <f t="shared" si="48"/>
        <v>#REF!</v>
      </c>
      <c r="U103" s="574"/>
    </row>
    <row r="104" spans="1:21">
      <c r="B104" t="s">
        <v>456</v>
      </c>
      <c r="I104" s="9"/>
      <c r="N104" s="9"/>
      <c r="O104" s="9" t="e">
        <f>#REF!</f>
        <v>#REF!</v>
      </c>
      <c r="P104" s="9" t="e">
        <f>#REF!</f>
        <v>#REF!</v>
      </c>
      <c r="Q104" s="9" t="e">
        <f>#REF!</f>
        <v>#REF!</v>
      </c>
      <c r="R104" s="9" t="e">
        <f>#REF!</f>
        <v>#REF!</v>
      </c>
      <c r="S104" s="9" t="e">
        <f>#REF!</f>
        <v>#REF!</v>
      </c>
      <c r="T104" s="9" t="e">
        <f>#REF!</f>
        <v>#REF!</v>
      </c>
    </row>
    <row r="105" spans="1:21">
      <c r="B105" t="s">
        <v>575</v>
      </c>
      <c r="I105" s="9"/>
      <c r="N105" s="10"/>
      <c r="O105" s="10" t="e">
        <f>#REF!</f>
        <v>#REF!</v>
      </c>
      <c r="P105" s="10" t="e">
        <f>#REF!</f>
        <v>#REF!</v>
      </c>
      <c r="Q105" s="10" t="e">
        <f>#REF!</f>
        <v>#REF!</v>
      </c>
      <c r="R105" s="10" t="e">
        <f>#REF!</f>
        <v>#REF!</v>
      </c>
      <c r="S105" s="10" t="e">
        <f>#REF!</f>
        <v>#REF!</v>
      </c>
      <c r="T105" s="10" t="e">
        <f>#REF!</f>
        <v>#REF!</v>
      </c>
      <c r="U105" s="4"/>
    </row>
    <row r="106" spans="1:21">
      <c r="B106" s="1" t="s">
        <v>460</v>
      </c>
      <c r="I106" s="9"/>
      <c r="N106" s="9"/>
      <c r="O106" s="9" t="e">
        <f t="shared" ref="O106:T106" si="49">SUM(O103:O105)</f>
        <v>#REF!</v>
      </c>
      <c r="P106" s="9" t="e">
        <f t="shared" si="49"/>
        <v>#REF!</v>
      </c>
      <c r="Q106" s="9" t="e">
        <f t="shared" si="49"/>
        <v>#REF!</v>
      </c>
      <c r="R106" s="9" t="e">
        <f t="shared" si="49"/>
        <v>#REF!</v>
      </c>
      <c r="S106" s="9" t="e">
        <f t="shared" si="49"/>
        <v>#REF!</v>
      </c>
      <c r="T106" s="9" t="e">
        <f t="shared" si="49"/>
        <v>#REF!</v>
      </c>
      <c r="U106" s="14"/>
    </row>
    <row r="107" spans="1:21">
      <c r="A107" s="4"/>
      <c r="B107" s="4"/>
      <c r="C107" s="4"/>
      <c r="D107" s="4"/>
      <c r="E107" s="4"/>
      <c r="G107" s="4"/>
      <c r="H107" s="4"/>
      <c r="I107" s="10"/>
      <c r="J107" s="4"/>
      <c r="K107" s="4"/>
      <c r="L107" s="4"/>
      <c r="M107" s="4"/>
      <c r="N107" s="10"/>
      <c r="O107" s="10"/>
      <c r="P107" s="10"/>
      <c r="Q107" s="10"/>
      <c r="R107" s="10"/>
      <c r="S107" s="10"/>
      <c r="T107" s="10"/>
      <c r="U107" s="4"/>
    </row>
    <row r="108" spans="1:21">
      <c r="I108" s="9"/>
      <c r="N108" s="9"/>
      <c r="O108" s="9"/>
      <c r="P108" s="9"/>
      <c r="Q108" s="9"/>
      <c r="R108" s="9"/>
      <c r="S108" s="9"/>
      <c r="T108" s="9"/>
    </row>
    <row r="109" spans="1:21">
      <c r="B109" s="28"/>
      <c r="I109" s="9"/>
      <c r="N109" s="9"/>
      <c r="O109" s="9"/>
      <c r="P109" s="9"/>
      <c r="Q109" s="9"/>
      <c r="R109" s="9"/>
      <c r="S109" s="9"/>
      <c r="T109" s="9"/>
    </row>
    <row r="110" spans="1:21">
      <c r="I110" s="9"/>
      <c r="N110" s="9"/>
      <c r="O110" s="9"/>
      <c r="P110" s="9"/>
      <c r="Q110" s="9"/>
      <c r="R110" s="9"/>
      <c r="S110" s="9"/>
      <c r="T110" s="9"/>
    </row>
  </sheetData>
  <customSheetViews>
    <customSheetView guid="{5826E3E6-173D-429F-ABE1-D868EE9E034B}" fitToPage="1" hiddenColumns="1" topLeftCell="M13">
      <selection activeCell="T25" sqref="T25"/>
      <pageMargins left="0" right="0" top="0" bottom="0" header="0" footer="0"/>
      <pageSetup paperSize="9" scale="54" orientation="landscape" horizontalDpi="1200" verticalDpi="1200" r:id="rId1"/>
    </customSheetView>
  </customSheetViews>
  <mergeCells count="4">
    <mergeCell ref="F1:G1"/>
    <mergeCell ref="A1:D1"/>
    <mergeCell ref="I1:K1"/>
    <mergeCell ref="L1:N1"/>
  </mergeCells>
  <printOptions headings="1" gridLines="1"/>
  <pageMargins left="0.70866141732283472" right="0.70866141732283472" top="0.74803149606299213" bottom="0.74803149606299213" header="0.31496062992125984" footer="0.31496062992125984"/>
  <pageSetup paperSize="9" scale="52" fitToHeight="0" orientation="landscape" horizontalDpi="1200" verticalDpi="1200" r:id="rId2"/>
  <headerFooter>
    <oddHeader>&amp;L&amp;8&amp;D&amp;C&amp;8DRAFT&amp;R&amp;8&amp;A</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pageSetUpPr fitToPage="1"/>
  </sheetPr>
  <dimension ref="A1:AA80"/>
  <sheetViews>
    <sheetView workbookViewId="0">
      <selection sqref="A1:D1"/>
    </sheetView>
  </sheetViews>
  <sheetFormatPr defaultRowHeight="12.75"/>
  <cols>
    <col min="1" max="1" width="2.85546875" customWidth="1"/>
    <col min="2" max="2" width="12.85546875" customWidth="1"/>
    <col min="3" max="3" width="10" customWidth="1"/>
    <col min="4" max="4" width="5.85546875" customWidth="1"/>
    <col min="5" max="5" width="7.28515625" customWidth="1"/>
    <col min="6" max="25" width="9.5703125" customWidth="1"/>
  </cols>
  <sheetData>
    <row r="1" spans="1:27" ht="94.5" customHeight="1" thickBot="1">
      <c r="A1" s="1626" t="s">
        <v>193</v>
      </c>
      <c r="B1" s="1627"/>
      <c r="C1" s="1627"/>
      <c r="D1" s="1627"/>
      <c r="E1" s="858" t="e">
        <f>#REF!</f>
        <v>#REF!</v>
      </c>
      <c r="F1" s="1618" t="e">
        <f>#REF!</f>
        <v>#REF!</v>
      </c>
      <c r="G1" s="1618"/>
      <c r="H1" s="1619">
        <f ca="1">NOW()</f>
        <v>44595.448909606479</v>
      </c>
      <c r="I1" s="1619"/>
      <c r="J1" s="1619"/>
      <c r="K1" s="861"/>
      <c r="L1" s="861"/>
      <c r="M1" s="862"/>
      <c r="N1" s="751"/>
      <c r="O1" s="751"/>
      <c r="P1" s="684"/>
      <c r="Q1" s="684"/>
      <c r="R1" s="684"/>
      <c r="S1" s="684"/>
      <c r="T1" s="684"/>
      <c r="U1" s="684"/>
      <c r="V1" s="684"/>
      <c r="W1" s="684"/>
      <c r="X1" s="684"/>
      <c r="Y1" s="751"/>
      <c r="Z1" s="751"/>
      <c r="AA1" s="751" t="e">
        <f>#REF!</f>
        <v>#REF!</v>
      </c>
    </row>
    <row r="2" spans="1:27">
      <c r="A2" s="811" t="s">
        <v>129</v>
      </c>
      <c r="B2" s="232"/>
      <c r="C2" s="481"/>
      <c r="D2" s="481"/>
      <c r="E2" s="233">
        <v>2</v>
      </c>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7">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27">
      <c r="A4" s="613">
        <v>1</v>
      </c>
      <c r="B4" s="721" t="s">
        <v>576</v>
      </c>
      <c r="C4" s="43"/>
      <c r="D4" s="43"/>
      <c r="E4" s="576"/>
      <c r="F4" s="45"/>
      <c r="G4" s="45"/>
      <c r="H4" s="45"/>
      <c r="I4" s="34"/>
      <c r="J4" s="34"/>
      <c r="K4" s="34"/>
      <c r="L4" s="34"/>
      <c r="M4" s="34"/>
      <c r="N4" s="45"/>
      <c r="O4" s="45"/>
      <c r="P4" s="45"/>
      <c r="Q4" s="45"/>
      <c r="R4" s="45"/>
      <c r="S4" s="45"/>
      <c r="T4" s="45"/>
      <c r="U4" s="34"/>
      <c r="V4" s="34"/>
      <c r="W4" s="34"/>
      <c r="X4" s="34"/>
      <c r="Y4" s="34"/>
      <c r="Z4" s="34"/>
      <c r="AA4" s="34"/>
    </row>
    <row r="5" spans="1:27">
      <c r="A5" s="613"/>
      <c r="B5" s="34" t="s">
        <v>457</v>
      </c>
      <c r="C5" s="34"/>
      <c r="D5" s="34"/>
      <c r="E5" s="45"/>
      <c r="F5" s="45"/>
      <c r="G5" s="45"/>
      <c r="H5" s="45"/>
      <c r="I5" s="34"/>
      <c r="J5" s="34"/>
      <c r="K5" s="34"/>
      <c r="L5" s="34"/>
      <c r="M5" s="34"/>
      <c r="N5" s="45" t="e">
        <f>#REF!</f>
        <v>#REF!</v>
      </c>
      <c r="O5" s="45" t="e">
        <f>#REF!</f>
        <v>#REF!</v>
      </c>
      <c r="P5" s="45" t="e">
        <f>#REF!</f>
        <v>#REF!</v>
      </c>
      <c r="Q5" s="45" t="e">
        <f>#REF!</f>
        <v>#REF!</v>
      </c>
      <c r="R5" s="45" t="e">
        <f>#REF!</f>
        <v>#REF!</v>
      </c>
      <c r="S5" s="45" t="e">
        <f>#REF!</f>
        <v>#REF!</v>
      </c>
      <c r="T5" s="45" t="e">
        <f>#REF!</f>
        <v>#REF!</v>
      </c>
      <c r="U5" s="45" t="e">
        <f>#REF!</f>
        <v>#REF!</v>
      </c>
      <c r="V5" s="45" t="e">
        <f>#REF!</f>
        <v>#REF!</v>
      </c>
      <c r="W5" s="45" t="e">
        <f>#REF!</f>
        <v>#REF!</v>
      </c>
      <c r="X5" s="45" t="e">
        <f>#REF!</f>
        <v>#REF!</v>
      </c>
      <c r="Y5" s="45" t="e">
        <f>#REF!</f>
        <v>#REF!</v>
      </c>
      <c r="Z5" s="34"/>
      <c r="AA5" s="34"/>
    </row>
    <row r="6" spans="1:27">
      <c r="A6" s="613"/>
      <c r="B6" s="34" t="s">
        <v>461</v>
      </c>
      <c r="C6" s="34"/>
      <c r="D6" s="34"/>
      <c r="E6" s="45"/>
      <c r="F6" s="576"/>
      <c r="G6" s="576"/>
      <c r="H6" s="576"/>
      <c r="I6" s="43"/>
      <c r="J6" s="43"/>
      <c r="K6" s="43"/>
      <c r="L6" s="43"/>
      <c r="M6" s="43"/>
      <c r="N6" s="576"/>
      <c r="O6" s="576" t="e">
        <f>#REF!</f>
        <v>#REF!</v>
      </c>
      <c r="P6" s="576" t="e">
        <f>#REF!</f>
        <v>#REF!</v>
      </c>
      <c r="Q6" s="576" t="e">
        <f>#REF!</f>
        <v>#REF!</v>
      </c>
      <c r="R6" s="576" t="e">
        <f>#REF!</f>
        <v>#REF!</v>
      </c>
      <c r="S6" s="576" t="e">
        <f>#REF!</f>
        <v>#REF!</v>
      </c>
      <c r="T6" s="576" t="e">
        <f>#REF!</f>
        <v>#REF!</v>
      </c>
      <c r="U6" s="576" t="e">
        <f>#REF!</f>
        <v>#REF!</v>
      </c>
      <c r="V6" s="576" t="e">
        <f>#REF!</f>
        <v>#REF!</v>
      </c>
      <c r="W6" s="576" t="e">
        <f>#REF!</f>
        <v>#REF!</v>
      </c>
      <c r="X6" s="576" t="e">
        <f>#REF!</f>
        <v>#REF!</v>
      </c>
      <c r="Y6" s="576" t="e">
        <f>#REF!</f>
        <v>#REF!</v>
      </c>
      <c r="Z6" s="34"/>
      <c r="AA6" s="34"/>
    </row>
    <row r="7" spans="1:27">
      <c r="A7" s="613"/>
      <c r="B7" s="34" t="s">
        <v>577</v>
      </c>
      <c r="C7" s="45"/>
      <c r="D7" s="45"/>
      <c r="E7" s="45"/>
      <c r="F7" s="34"/>
      <c r="G7" s="45"/>
      <c r="H7" s="45"/>
      <c r="I7" s="34"/>
      <c r="J7" s="34"/>
      <c r="K7" s="34"/>
      <c r="L7" s="34"/>
      <c r="M7" s="34"/>
      <c r="N7" s="45"/>
      <c r="O7" s="45" t="e">
        <f>O6+O5</f>
        <v>#REF!</v>
      </c>
      <c r="P7" s="45" t="e">
        <f t="shared" ref="P7:T7" si="3">P6+P5</f>
        <v>#REF!</v>
      </c>
      <c r="Q7" s="45" t="e">
        <f t="shared" si="3"/>
        <v>#REF!</v>
      </c>
      <c r="R7" s="45" t="e">
        <f t="shared" si="3"/>
        <v>#REF!</v>
      </c>
      <c r="S7" s="45" t="e">
        <f t="shared" si="3"/>
        <v>#REF!</v>
      </c>
      <c r="T7" s="45" t="e">
        <f t="shared" si="3"/>
        <v>#REF!</v>
      </c>
      <c r="U7" s="45" t="e">
        <f t="shared" ref="U7:Y7" si="4">U6+U5</f>
        <v>#REF!</v>
      </c>
      <c r="V7" s="45" t="e">
        <f t="shared" si="4"/>
        <v>#REF!</v>
      </c>
      <c r="W7" s="45" t="e">
        <f t="shared" si="4"/>
        <v>#REF!</v>
      </c>
      <c r="X7" s="45" t="e">
        <f t="shared" si="4"/>
        <v>#REF!</v>
      </c>
      <c r="Y7" s="45" t="e">
        <f t="shared" si="4"/>
        <v>#REF!</v>
      </c>
      <c r="Z7" s="34"/>
      <c r="AA7" s="34"/>
    </row>
    <row r="8" spans="1:27">
      <c r="A8" s="613"/>
      <c r="B8" s="34"/>
      <c r="C8" s="34"/>
      <c r="D8" s="34"/>
      <c r="E8" s="34"/>
      <c r="F8" s="34"/>
      <c r="G8" s="34"/>
      <c r="H8" s="34"/>
      <c r="I8" s="34"/>
      <c r="J8" s="34"/>
      <c r="K8" s="34"/>
      <c r="L8" s="34"/>
      <c r="M8" s="34"/>
      <c r="N8" s="34"/>
      <c r="O8" s="45"/>
      <c r="P8" s="45"/>
      <c r="Q8" s="45"/>
      <c r="R8" s="45"/>
      <c r="S8" s="45"/>
      <c r="T8" s="45"/>
      <c r="U8" s="45"/>
      <c r="V8" s="45"/>
      <c r="W8" s="45"/>
      <c r="X8" s="45"/>
      <c r="Y8" s="45"/>
      <c r="Z8" s="34"/>
      <c r="AA8" s="34"/>
    </row>
    <row r="9" spans="1:27">
      <c r="A9" s="613">
        <v>2</v>
      </c>
      <c r="B9" s="721" t="s">
        <v>578</v>
      </c>
      <c r="C9" s="43"/>
      <c r="D9" s="43"/>
      <c r="E9" s="576"/>
      <c r="F9" s="45"/>
      <c r="G9" s="45"/>
      <c r="H9" s="45"/>
      <c r="I9" s="34"/>
      <c r="J9" s="34"/>
      <c r="K9" s="34"/>
      <c r="L9" s="34"/>
      <c r="M9" s="34"/>
      <c r="N9" s="45"/>
      <c r="O9" s="45"/>
      <c r="P9" s="45"/>
      <c r="Q9" s="45"/>
      <c r="R9" s="45"/>
      <c r="S9" s="45"/>
      <c r="T9" s="45"/>
      <c r="U9" s="45"/>
      <c r="V9" s="45"/>
      <c r="W9" s="45"/>
      <c r="X9" s="45"/>
      <c r="Y9" s="45"/>
      <c r="Z9" s="34"/>
      <c r="AA9" s="34"/>
    </row>
    <row r="10" spans="1:27">
      <c r="A10" s="613"/>
      <c r="B10" s="34" t="s">
        <v>460</v>
      </c>
      <c r="C10" s="34"/>
      <c r="D10" s="34"/>
      <c r="E10" s="45"/>
      <c r="F10" s="45"/>
      <c r="G10" s="45"/>
      <c r="H10" s="45"/>
      <c r="I10" s="34"/>
      <c r="J10" s="34"/>
      <c r="K10" s="34"/>
      <c r="L10" s="34"/>
      <c r="M10" s="34"/>
      <c r="N10" s="45"/>
      <c r="O10" s="45" t="e">
        <f>#REF!</f>
        <v>#REF!</v>
      </c>
      <c r="P10" s="45" t="e">
        <f>#REF!</f>
        <v>#REF!</v>
      </c>
      <c r="Q10" s="45" t="e">
        <f>#REF!</f>
        <v>#REF!</v>
      </c>
      <c r="R10" s="45" t="e">
        <f>#REF!</f>
        <v>#REF!</v>
      </c>
      <c r="S10" s="45" t="e">
        <f>#REF!</f>
        <v>#REF!</v>
      </c>
      <c r="T10" s="45" t="e">
        <f>#REF!</f>
        <v>#REF!</v>
      </c>
      <c r="U10" s="45" t="e">
        <f>#REF!</f>
        <v>#REF!</v>
      </c>
      <c r="V10" s="45" t="e">
        <f>#REF!</f>
        <v>#REF!</v>
      </c>
      <c r="W10" s="45" t="e">
        <f>#REF!</f>
        <v>#REF!</v>
      </c>
      <c r="X10" s="45" t="e">
        <f>#REF!</f>
        <v>#REF!</v>
      </c>
      <c r="Y10" s="45" t="e">
        <f>#REF!</f>
        <v>#REF!</v>
      </c>
      <c r="Z10" s="34"/>
      <c r="AA10" s="34"/>
    </row>
    <row r="11" spans="1:27">
      <c r="A11" s="613"/>
      <c r="B11" s="34" t="s">
        <v>579</v>
      </c>
      <c r="C11" s="34"/>
      <c r="D11" s="34"/>
      <c r="E11" s="45"/>
      <c r="F11" s="576"/>
      <c r="G11" s="576"/>
      <c r="H11" s="576"/>
      <c r="I11" s="43"/>
      <c r="J11" s="43"/>
      <c r="K11" s="43"/>
      <c r="L11" s="43"/>
      <c r="M11" s="43"/>
      <c r="N11" s="576"/>
      <c r="O11" s="576" t="e">
        <f t="shared" ref="O11:T11" si="5">O6</f>
        <v>#REF!</v>
      </c>
      <c r="P11" s="576" t="e">
        <f t="shared" si="5"/>
        <v>#REF!</v>
      </c>
      <c r="Q11" s="576" t="e">
        <f t="shared" si="5"/>
        <v>#REF!</v>
      </c>
      <c r="R11" s="576" t="e">
        <f t="shared" si="5"/>
        <v>#REF!</v>
      </c>
      <c r="S11" s="576" t="e">
        <f t="shared" si="5"/>
        <v>#REF!</v>
      </c>
      <c r="T11" s="576" t="e">
        <f t="shared" si="5"/>
        <v>#REF!</v>
      </c>
      <c r="U11" s="576" t="e">
        <f t="shared" ref="U11:Y11" si="6">U6</f>
        <v>#REF!</v>
      </c>
      <c r="V11" s="576" t="e">
        <f t="shared" si="6"/>
        <v>#REF!</v>
      </c>
      <c r="W11" s="576" t="e">
        <f t="shared" si="6"/>
        <v>#REF!</v>
      </c>
      <c r="X11" s="576" t="e">
        <f t="shared" si="6"/>
        <v>#REF!</v>
      </c>
      <c r="Y11" s="576" t="e">
        <f t="shared" si="6"/>
        <v>#REF!</v>
      </c>
      <c r="Z11" s="34"/>
      <c r="AA11" s="34"/>
    </row>
    <row r="12" spans="1:27">
      <c r="A12" s="613"/>
      <c r="B12" s="613" t="s">
        <v>580</v>
      </c>
      <c r="C12" s="34"/>
      <c r="D12" s="34"/>
      <c r="E12" s="45"/>
      <c r="F12" s="45"/>
      <c r="G12" s="45"/>
      <c r="H12" s="45"/>
      <c r="I12" s="34"/>
      <c r="J12" s="34"/>
      <c r="K12" s="34"/>
      <c r="L12" s="34"/>
      <c r="M12" s="34"/>
      <c r="N12" s="45"/>
      <c r="O12" s="45" t="e">
        <f t="shared" ref="O12:S12" si="7">SUM(O10:O11)</f>
        <v>#REF!</v>
      </c>
      <c r="P12" s="45" t="e">
        <f t="shared" si="7"/>
        <v>#REF!</v>
      </c>
      <c r="Q12" s="45" t="e">
        <f t="shared" si="7"/>
        <v>#REF!</v>
      </c>
      <c r="R12" s="45" t="e">
        <f t="shared" si="7"/>
        <v>#REF!</v>
      </c>
      <c r="S12" s="45" t="e">
        <f t="shared" si="7"/>
        <v>#REF!</v>
      </c>
      <c r="T12" s="45" t="e">
        <f>SUM(T10:T11)</f>
        <v>#REF!</v>
      </c>
      <c r="U12" s="45" t="e">
        <f t="shared" ref="U12:Y12" si="8">SUM(U10:U11)</f>
        <v>#REF!</v>
      </c>
      <c r="V12" s="45" t="e">
        <f t="shared" si="8"/>
        <v>#REF!</v>
      </c>
      <c r="W12" s="45" t="e">
        <f t="shared" si="8"/>
        <v>#REF!</v>
      </c>
      <c r="X12" s="45" t="e">
        <f t="shared" si="8"/>
        <v>#REF!</v>
      </c>
      <c r="Y12" s="45" t="e">
        <f t="shared" si="8"/>
        <v>#REF!</v>
      </c>
      <c r="Z12" s="34"/>
      <c r="AA12" s="34"/>
    </row>
    <row r="13" spans="1:27">
      <c r="A13" s="613"/>
      <c r="B13" s="739" t="s">
        <v>581</v>
      </c>
      <c r="C13" s="34"/>
      <c r="D13" s="34"/>
      <c r="E13" s="45"/>
      <c r="F13" s="45"/>
      <c r="G13" s="45"/>
      <c r="H13" s="45"/>
      <c r="I13" s="34"/>
      <c r="J13" s="34"/>
      <c r="K13" s="34"/>
      <c r="L13" s="34"/>
      <c r="M13" s="34"/>
      <c r="N13" s="45"/>
      <c r="O13" s="45" t="e">
        <f>-#REF!</f>
        <v>#REF!</v>
      </c>
      <c r="P13" s="45" t="e">
        <f>-#REF!</f>
        <v>#REF!</v>
      </c>
      <c r="Q13" s="45" t="e">
        <f>-#REF!</f>
        <v>#REF!</v>
      </c>
      <c r="R13" s="45" t="e">
        <f>-#REF!</f>
        <v>#REF!</v>
      </c>
      <c r="S13" s="45" t="e">
        <f>-#REF!</f>
        <v>#REF!</v>
      </c>
      <c r="T13" s="45" t="e">
        <f>-#REF!</f>
        <v>#REF!</v>
      </c>
      <c r="U13" s="45" t="e">
        <f>-#REF!</f>
        <v>#REF!</v>
      </c>
      <c r="V13" s="45" t="e">
        <f>-#REF!</f>
        <v>#REF!</v>
      </c>
      <c r="W13" s="45" t="e">
        <f>-#REF!</f>
        <v>#REF!</v>
      </c>
      <c r="X13" s="45" t="e">
        <f>-#REF!</f>
        <v>#REF!</v>
      </c>
      <c r="Y13" s="45" t="e">
        <f>-#REF!</f>
        <v>#REF!</v>
      </c>
      <c r="Z13" s="34"/>
      <c r="AA13" s="34"/>
    </row>
    <row r="14" spans="1:27">
      <c r="A14" s="613"/>
      <c r="B14" s="739" t="s">
        <v>582</v>
      </c>
      <c r="C14" s="34"/>
      <c r="D14" s="34"/>
      <c r="E14" s="45"/>
      <c r="F14" s="576"/>
      <c r="G14" s="576"/>
      <c r="H14" s="576"/>
      <c r="I14" s="43"/>
      <c r="J14" s="43"/>
      <c r="K14" s="43"/>
      <c r="L14" s="43"/>
      <c r="M14" s="43"/>
      <c r="N14" s="576"/>
      <c r="O14" s="576" t="e">
        <f>-#REF!</f>
        <v>#REF!</v>
      </c>
      <c r="P14" s="576" t="e">
        <f>-#REF!</f>
        <v>#REF!</v>
      </c>
      <c r="Q14" s="576" t="e">
        <f>-#REF!</f>
        <v>#REF!</v>
      </c>
      <c r="R14" s="576" t="e">
        <f>-#REF!</f>
        <v>#REF!</v>
      </c>
      <c r="S14" s="576" t="e">
        <f>-#REF!</f>
        <v>#REF!</v>
      </c>
      <c r="T14" s="576" t="e">
        <f>-#REF!</f>
        <v>#REF!</v>
      </c>
      <c r="U14" s="576" t="e">
        <f>-#REF!</f>
        <v>#REF!</v>
      </c>
      <c r="V14" s="576" t="e">
        <f>-#REF!</f>
        <v>#REF!</v>
      </c>
      <c r="W14" s="576" t="e">
        <f>-#REF!</f>
        <v>#REF!</v>
      </c>
      <c r="X14" s="576" t="e">
        <f>-#REF!</f>
        <v>#REF!</v>
      </c>
      <c r="Y14" s="576" t="e">
        <f>-#REF!</f>
        <v>#REF!</v>
      </c>
      <c r="Z14" s="34"/>
      <c r="AA14" s="34"/>
    </row>
    <row r="15" spans="1:27">
      <c r="A15" s="613"/>
      <c r="B15" s="613" t="s">
        <v>583</v>
      </c>
      <c r="C15" s="34"/>
      <c r="D15" s="34"/>
      <c r="E15" s="45"/>
      <c r="F15" s="45"/>
      <c r="G15" s="45"/>
      <c r="H15" s="45"/>
      <c r="I15" s="34"/>
      <c r="J15" s="34"/>
      <c r="K15" s="34"/>
      <c r="L15" s="34"/>
      <c r="M15" s="34"/>
      <c r="N15" s="45"/>
      <c r="O15" s="45" t="e">
        <f>O12+O13+O14</f>
        <v>#REF!</v>
      </c>
      <c r="P15" s="45" t="e">
        <f t="shared" ref="P15:T15" si="9">P12+P13+P14</f>
        <v>#REF!</v>
      </c>
      <c r="Q15" s="45" t="e">
        <f t="shared" si="9"/>
        <v>#REF!</v>
      </c>
      <c r="R15" s="45" t="e">
        <f t="shared" si="9"/>
        <v>#REF!</v>
      </c>
      <c r="S15" s="45" t="e">
        <f t="shared" si="9"/>
        <v>#REF!</v>
      </c>
      <c r="T15" s="45" t="e">
        <f t="shared" si="9"/>
        <v>#REF!</v>
      </c>
      <c r="U15" s="45" t="e">
        <f t="shared" ref="U15:Y15" si="10">U12+U13+U14</f>
        <v>#REF!</v>
      </c>
      <c r="V15" s="45" t="e">
        <f t="shared" si="10"/>
        <v>#REF!</v>
      </c>
      <c r="W15" s="45" t="e">
        <f t="shared" si="10"/>
        <v>#REF!</v>
      </c>
      <c r="X15" s="45" t="e">
        <f t="shared" si="10"/>
        <v>#REF!</v>
      </c>
      <c r="Y15" s="45" t="e">
        <f t="shared" si="10"/>
        <v>#REF!</v>
      </c>
      <c r="Z15" s="34"/>
      <c r="AA15" s="34"/>
    </row>
    <row r="16" spans="1:27">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row>
    <row r="17" spans="1:27">
      <c r="A17" s="613">
        <v>3</v>
      </c>
      <c r="B17" s="721" t="s">
        <v>457</v>
      </c>
      <c r="C17" s="43"/>
      <c r="D17" s="43"/>
      <c r="E17" s="576"/>
      <c r="F17" s="45"/>
      <c r="G17" s="45"/>
      <c r="H17" s="45"/>
      <c r="I17" s="34"/>
      <c r="J17" s="34"/>
      <c r="K17" s="34"/>
      <c r="L17" s="34"/>
      <c r="M17" s="34"/>
      <c r="N17" s="45"/>
      <c r="O17" s="45"/>
      <c r="P17" s="45"/>
      <c r="Q17" s="45"/>
      <c r="R17" s="45"/>
      <c r="S17" s="45"/>
      <c r="T17" s="45"/>
      <c r="U17" s="45"/>
      <c r="V17" s="45"/>
      <c r="W17" s="45"/>
      <c r="X17" s="45"/>
      <c r="Y17" s="45"/>
      <c r="Z17" s="34"/>
      <c r="AA17" s="34"/>
    </row>
    <row r="18" spans="1:27">
      <c r="A18" s="613"/>
      <c r="B18" s="34" t="s">
        <v>460</v>
      </c>
      <c r="C18" s="34"/>
      <c r="D18" s="34"/>
      <c r="E18" s="45"/>
      <c r="F18" s="45"/>
      <c r="G18" s="45"/>
      <c r="H18" s="45"/>
      <c r="I18" s="34"/>
      <c r="J18" s="34"/>
      <c r="K18" s="34"/>
      <c r="L18" s="34"/>
      <c r="M18" s="34"/>
      <c r="N18" s="45"/>
      <c r="O18" s="45" t="e">
        <f>O10</f>
        <v>#REF!</v>
      </c>
      <c r="P18" s="45" t="e">
        <f t="shared" ref="P18:T18" si="11">P10</f>
        <v>#REF!</v>
      </c>
      <c r="Q18" s="45" t="e">
        <f t="shared" si="11"/>
        <v>#REF!</v>
      </c>
      <c r="R18" s="45" t="e">
        <f t="shared" si="11"/>
        <v>#REF!</v>
      </c>
      <c r="S18" s="45" t="e">
        <f t="shared" si="11"/>
        <v>#REF!</v>
      </c>
      <c r="T18" s="45" t="e">
        <f t="shared" si="11"/>
        <v>#REF!</v>
      </c>
      <c r="U18" s="45" t="e">
        <f t="shared" ref="U18:Y18" si="12">U10</f>
        <v>#REF!</v>
      </c>
      <c r="V18" s="45" t="e">
        <f t="shared" si="12"/>
        <v>#REF!</v>
      </c>
      <c r="W18" s="45" t="e">
        <f t="shared" si="12"/>
        <v>#REF!</v>
      </c>
      <c r="X18" s="45" t="e">
        <f t="shared" si="12"/>
        <v>#REF!</v>
      </c>
      <c r="Y18" s="45" t="e">
        <f t="shared" si="12"/>
        <v>#REF!</v>
      </c>
      <c r="Z18" s="34"/>
      <c r="AA18" s="34"/>
    </row>
    <row r="19" spans="1:27">
      <c r="A19" s="613"/>
      <c r="B19" s="739" t="s">
        <v>581</v>
      </c>
      <c r="C19" s="34"/>
      <c r="D19" s="34"/>
      <c r="E19" s="45"/>
      <c r="F19" s="45"/>
      <c r="G19" s="45"/>
      <c r="H19" s="45"/>
      <c r="I19" s="34"/>
      <c r="J19" s="34"/>
      <c r="K19" s="34"/>
      <c r="L19" s="34"/>
      <c r="M19" s="34"/>
      <c r="N19" s="45"/>
      <c r="O19" s="45" t="e">
        <f>O13</f>
        <v>#REF!</v>
      </c>
      <c r="P19" s="45" t="e">
        <f t="shared" ref="P19:T19" si="13">P13</f>
        <v>#REF!</v>
      </c>
      <c r="Q19" s="45" t="e">
        <f t="shared" si="13"/>
        <v>#REF!</v>
      </c>
      <c r="R19" s="45" t="e">
        <f t="shared" si="13"/>
        <v>#REF!</v>
      </c>
      <c r="S19" s="45" t="e">
        <f t="shared" si="13"/>
        <v>#REF!</v>
      </c>
      <c r="T19" s="45" t="e">
        <f t="shared" si="13"/>
        <v>#REF!</v>
      </c>
      <c r="U19" s="45" t="e">
        <f t="shared" ref="U19:Y19" si="14">U13</f>
        <v>#REF!</v>
      </c>
      <c r="V19" s="45" t="e">
        <f t="shared" si="14"/>
        <v>#REF!</v>
      </c>
      <c r="W19" s="45" t="e">
        <f t="shared" si="14"/>
        <v>#REF!</v>
      </c>
      <c r="X19" s="45" t="e">
        <f t="shared" si="14"/>
        <v>#REF!</v>
      </c>
      <c r="Y19" s="45" t="e">
        <f t="shared" si="14"/>
        <v>#REF!</v>
      </c>
      <c r="Z19" s="34"/>
      <c r="AA19" s="34"/>
    </row>
    <row r="20" spans="1:27">
      <c r="A20" s="613"/>
      <c r="B20" s="739" t="s">
        <v>582</v>
      </c>
      <c r="C20" s="34"/>
      <c r="D20" s="34"/>
      <c r="E20" s="45"/>
      <c r="F20" s="576"/>
      <c r="G20" s="576"/>
      <c r="H20" s="576"/>
      <c r="I20" s="43"/>
      <c r="J20" s="43"/>
      <c r="K20" s="43"/>
      <c r="L20" s="43"/>
      <c r="M20" s="43"/>
      <c r="N20" s="576"/>
      <c r="O20" s="576" t="e">
        <f>O14</f>
        <v>#REF!</v>
      </c>
      <c r="P20" s="576" t="e">
        <f t="shared" ref="P20:T20" si="15">P14</f>
        <v>#REF!</v>
      </c>
      <c r="Q20" s="576" t="e">
        <f t="shared" si="15"/>
        <v>#REF!</v>
      </c>
      <c r="R20" s="576" t="e">
        <f t="shared" si="15"/>
        <v>#REF!</v>
      </c>
      <c r="S20" s="576" t="e">
        <f t="shared" si="15"/>
        <v>#REF!</v>
      </c>
      <c r="T20" s="576" t="e">
        <f t="shared" si="15"/>
        <v>#REF!</v>
      </c>
      <c r="U20" s="576" t="e">
        <f t="shared" ref="U20:Y20" si="16">U14</f>
        <v>#REF!</v>
      </c>
      <c r="V20" s="576" t="e">
        <f t="shared" si="16"/>
        <v>#REF!</v>
      </c>
      <c r="W20" s="576" t="e">
        <f t="shared" si="16"/>
        <v>#REF!</v>
      </c>
      <c r="X20" s="576" t="e">
        <f t="shared" si="16"/>
        <v>#REF!</v>
      </c>
      <c r="Y20" s="576" t="e">
        <f t="shared" si="16"/>
        <v>#REF!</v>
      </c>
      <c r="Z20" s="34"/>
      <c r="AA20" s="34"/>
    </row>
    <row r="21" spans="1:27">
      <c r="A21" s="613"/>
      <c r="B21" s="34" t="s">
        <v>457</v>
      </c>
      <c r="C21" s="34"/>
      <c r="D21" s="34"/>
      <c r="E21" s="45"/>
      <c r="F21" s="45"/>
      <c r="G21" s="45"/>
      <c r="H21" s="45"/>
      <c r="I21" s="34"/>
      <c r="J21" s="34"/>
      <c r="K21" s="34"/>
      <c r="L21" s="34"/>
      <c r="M21" s="34"/>
      <c r="N21" s="45"/>
      <c r="O21" s="45" t="e">
        <f>SUM(O18:O20)</f>
        <v>#REF!</v>
      </c>
      <c r="P21" s="45" t="e">
        <f t="shared" ref="P21:T21" si="17">SUM(P18:P20)</f>
        <v>#REF!</v>
      </c>
      <c r="Q21" s="45" t="e">
        <f t="shared" si="17"/>
        <v>#REF!</v>
      </c>
      <c r="R21" s="45" t="e">
        <f t="shared" si="17"/>
        <v>#REF!</v>
      </c>
      <c r="S21" s="45" t="e">
        <f t="shared" si="17"/>
        <v>#REF!</v>
      </c>
      <c r="T21" s="45" t="e">
        <f t="shared" si="17"/>
        <v>#REF!</v>
      </c>
      <c r="U21" s="45" t="e">
        <f t="shared" ref="U21:Y21" si="18">SUM(U18:U20)</f>
        <v>#REF!</v>
      </c>
      <c r="V21" s="45" t="e">
        <f t="shared" si="18"/>
        <v>#REF!</v>
      </c>
      <c r="W21" s="45" t="e">
        <f t="shared" si="18"/>
        <v>#REF!</v>
      </c>
      <c r="X21" s="45" t="e">
        <f t="shared" si="18"/>
        <v>#REF!</v>
      </c>
      <c r="Y21" s="45" t="e">
        <f t="shared" si="18"/>
        <v>#REF!</v>
      </c>
      <c r="Z21" s="34"/>
      <c r="AA21" s="34"/>
    </row>
    <row r="22" spans="1:27">
      <c r="A22" s="34"/>
      <c r="B22" s="34"/>
      <c r="C22" s="34"/>
      <c r="D22" s="34"/>
      <c r="E22" s="34"/>
      <c r="F22" s="34"/>
      <c r="G22" s="34"/>
      <c r="H22" s="34"/>
      <c r="I22" s="34"/>
      <c r="J22" s="34"/>
      <c r="K22" s="34"/>
      <c r="L22" s="34"/>
      <c r="M22" s="34"/>
      <c r="N22" s="34"/>
      <c r="O22" s="34"/>
      <c r="P22" s="45"/>
      <c r="Q22" s="34"/>
      <c r="R22" s="34"/>
      <c r="S22" s="34"/>
      <c r="T22" s="34"/>
      <c r="U22" s="34"/>
      <c r="V22" s="34"/>
      <c r="W22" s="34"/>
      <c r="X22" s="34"/>
      <c r="Y22" s="34"/>
      <c r="Z22" s="34"/>
      <c r="AA22" s="34"/>
    </row>
    <row r="23" spans="1:27">
      <c r="A23" s="613">
        <v>4</v>
      </c>
      <c r="B23" s="613" t="s">
        <v>584</v>
      </c>
      <c r="C23" s="34"/>
      <c r="D23" s="34"/>
      <c r="E23" s="45"/>
      <c r="F23" s="45"/>
      <c r="G23" s="45"/>
      <c r="H23" s="45"/>
      <c r="I23" s="34"/>
      <c r="J23" s="34"/>
      <c r="K23" s="34"/>
      <c r="L23" s="34"/>
      <c r="M23" s="34"/>
      <c r="N23" s="45"/>
      <c r="O23" s="45" t="e">
        <f>AVERAGE(N5:O5)</f>
        <v>#REF!</v>
      </c>
      <c r="P23" s="45" t="e">
        <f t="shared" ref="P23:T23" si="19">AVERAGE(O5:P5)</f>
        <v>#REF!</v>
      </c>
      <c r="Q23" s="45" t="e">
        <f t="shared" si="19"/>
        <v>#REF!</v>
      </c>
      <c r="R23" s="45" t="e">
        <f t="shared" si="19"/>
        <v>#REF!</v>
      </c>
      <c r="S23" s="45" t="e">
        <f t="shared" si="19"/>
        <v>#REF!</v>
      </c>
      <c r="T23" s="45" t="e">
        <f t="shared" si="19"/>
        <v>#REF!</v>
      </c>
      <c r="U23" s="45" t="e">
        <f t="shared" ref="U23" si="20">AVERAGE(T5:U5)</f>
        <v>#REF!</v>
      </c>
      <c r="V23" s="45" t="e">
        <f t="shared" ref="V23" si="21">AVERAGE(U5:V5)</f>
        <v>#REF!</v>
      </c>
      <c r="W23" s="45" t="e">
        <f t="shared" ref="W23" si="22">AVERAGE(V5:W5)</f>
        <v>#REF!</v>
      </c>
      <c r="X23" s="45" t="e">
        <f t="shared" ref="X23" si="23">AVERAGE(W5:X5)</f>
        <v>#REF!</v>
      </c>
      <c r="Y23" s="45" t="e">
        <f t="shared" ref="Y23" si="24">AVERAGE(X5:Y5)</f>
        <v>#REF!</v>
      </c>
      <c r="Z23" s="34"/>
      <c r="AA23" s="34"/>
    </row>
    <row r="24" spans="1:27">
      <c r="A24" s="613"/>
      <c r="B24" s="34"/>
      <c r="C24" s="34"/>
      <c r="D24" s="34"/>
      <c r="E24" s="45"/>
      <c r="F24" s="45"/>
      <c r="G24" s="45"/>
      <c r="H24" s="45"/>
      <c r="I24" s="34"/>
      <c r="J24" s="34"/>
      <c r="K24" s="34"/>
      <c r="L24" s="34"/>
      <c r="M24" s="34"/>
      <c r="N24" s="45"/>
      <c r="O24" s="45"/>
      <c r="P24" s="45"/>
      <c r="Q24" s="45"/>
      <c r="R24" s="45"/>
      <c r="S24" s="45"/>
      <c r="T24" s="45"/>
      <c r="U24" s="34"/>
      <c r="V24" s="34"/>
      <c r="W24" s="34"/>
      <c r="X24" s="34"/>
      <c r="Y24" s="34"/>
      <c r="Z24" s="34"/>
      <c r="AA24" s="34"/>
    </row>
    <row r="25" spans="1:27" ht="13.5">
      <c r="A25" s="613">
        <v>5</v>
      </c>
      <c r="B25" s="721" t="s">
        <v>585</v>
      </c>
      <c r="C25" s="43"/>
      <c r="D25" s="43"/>
      <c r="E25" s="576"/>
      <c r="F25" s="45"/>
      <c r="G25" s="45"/>
      <c r="H25" s="45"/>
      <c r="I25" s="34"/>
      <c r="J25" s="34"/>
      <c r="K25" s="34"/>
      <c r="L25" s="34"/>
      <c r="M25" s="34"/>
      <c r="N25" s="45"/>
      <c r="O25" s="45"/>
      <c r="P25" s="45"/>
      <c r="Q25" s="45"/>
      <c r="R25" s="45"/>
      <c r="S25" s="45"/>
      <c r="T25" s="492"/>
      <c r="U25" s="34"/>
      <c r="V25" s="34"/>
      <c r="W25" s="34"/>
      <c r="X25" s="34"/>
      <c r="Y25" s="34"/>
      <c r="Z25" s="34"/>
      <c r="AA25" s="34"/>
    </row>
    <row r="26" spans="1:27">
      <c r="A26" s="613"/>
      <c r="B26" s="34" t="s">
        <v>454</v>
      </c>
      <c r="C26" s="34"/>
      <c r="D26" s="34"/>
      <c r="E26" s="45"/>
      <c r="F26" s="575" t="s">
        <v>433</v>
      </c>
      <c r="G26" s="45"/>
      <c r="H26" s="124"/>
      <c r="I26" s="34"/>
      <c r="J26" s="34"/>
      <c r="K26" s="34"/>
      <c r="L26" s="34"/>
      <c r="M26" s="34"/>
      <c r="N26" s="124"/>
      <c r="O26" s="124" t="e">
        <f>#REF!</f>
        <v>#REF!</v>
      </c>
      <c r="P26" s="124" t="e">
        <f>#REF!</f>
        <v>#REF!</v>
      </c>
      <c r="Q26" s="124" t="e">
        <f>#REF!</f>
        <v>#REF!</v>
      </c>
      <c r="R26" s="124" t="e">
        <f>#REF!</f>
        <v>#REF!</v>
      </c>
      <c r="S26" s="124" t="e">
        <f>#REF!</f>
        <v>#REF!</v>
      </c>
      <c r="T26" s="124" t="e">
        <f>#REF!</f>
        <v>#REF!</v>
      </c>
      <c r="U26" s="34"/>
      <c r="V26" s="34"/>
      <c r="W26" s="34"/>
      <c r="X26" s="34"/>
      <c r="Y26" s="34"/>
      <c r="Z26" s="34"/>
      <c r="AA26" s="34"/>
    </row>
    <row r="27" spans="1:27">
      <c r="A27" s="613"/>
      <c r="B27" s="34" t="s">
        <v>586</v>
      </c>
      <c r="C27" s="34"/>
      <c r="D27" s="34"/>
      <c r="E27" s="45"/>
      <c r="F27" s="608" t="s">
        <v>433</v>
      </c>
      <c r="G27" s="576"/>
      <c r="H27" s="875"/>
      <c r="I27" s="875"/>
      <c r="J27" s="875"/>
      <c r="K27" s="875"/>
      <c r="L27" s="875"/>
      <c r="M27" s="875"/>
      <c r="N27" s="875"/>
      <c r="O27" s="875"/>
      <c r="P27" s="875"/>
      <c r="Q27" s="875"/>
      <c r="R27" s="875"/>
      <c r="S27" s="875"/>
      <c r="T27" s="875"/>
      <c r="U27" s="34"/>
      <c r="V27" s="34"/>
      <c r="W27" s="34"/>
      <c r="X27" s="34"/>
      <c r="Y27" s="34"/>
      <c r="Z27" s="34"/>
      <c r="AA27" s="34"/>
    </row>
    <row r="28" spans="1:27">
      <c r="A28" s="613"/>
      <c r="B28" s="34" t="s">
        <v>587</v>
      </c>
      <c r="C28" s="34"/>
      <c r="D28" s="34"/>
      <c r="E28" s="45"/>
      <c r="F28" s="575" t="s">
        <v>433</v>
      </c>
      <c r="G28" s="45"/>
      <c r="H28" s="124"/>
      <c r="I28" s="34"/>
      <c r="J28" s="34"/>
      <c r="K28" s="34"/>
      <c r="L28" s="34"/>
      <c r="M28" s="34"/>
      <c r="N28" s="124"/>
      <c r="O28" s="124" t="e">
        <f t="shared" ref="O28:T28" si="25">O26-O27</f>
        <v>#REF!</v>
      </c>
      <c r="P28" s="124" t="e">
        <f t="shared" si="25"/>
        <v>#REF!</v>
      </c>
      <c r="Q28" s="124" t="e">
        <f t="shared" si="25"/>
        <v>#REF!</v>
      </c>
      <c r="R28" s="124" t="e">
        <f t="shared" si="25"/>
        <v>#REF!</v>
      </c>
      <c r="S28" s="124" t="e">
        <f t="shared" si="25"/>
        <v>#REF!</v>
      </c>
      <c r="T28" s="124" t="e">
        <f t="shared" si="25"/>
        <v>#REF!</v>
      </c>
      <c r="U28" s="34"/>
      <c r="V28" s="34"/>
      <c r="W28" s="34"/>
      <c r="X28" s="34"/>
      <c r="Y28" s="34"/>
      <c r="Z28" s="34"/>
      <c r="AA28" s="34"/>
    </row>
    <row r="29" spans="1:27">
      <c r="A29" s="613"/>
      <c r="B29" s="34" t="s">
        <v>588</v>
      </c>
      <c r="C29" s="34"/>
      <c r="D29" s="34"/>
      <c r="E29" s="45"/>
      <c r="F29" s="576"/>
      <c r="G29" s="576"/>
      <c r="H29" s="576"/>
      <c r="I29" s="43"/>
      <c r="J29" s="43"/>
      <c r="K29" s="43"/>
      <c r="L29" s="43"/>
      <c r="M29" s="43"/>
      <c r="N29" s="576"/>
      <c r="O29" s="576" t="e">
        <f>#REF!</f>
        <v>#REF!</v>
      </c>
      <c r="P29" s="576" t="e">
        <f>#REF!</f>
        <v>#REF!</v>
      </c>
      <c r="Q29" s="576" t="e">
        <f>#REF!</f>
        <v>#REF!</v>
      </c>
      <c r="R29" s="576" t="e">
        <f>#REF!</f>
        <v>#REF!</v>
      </c>
      <c r="S29" s="576" t="e">
        <f>#REF!</f>
        <v>#REF!</v>
      </c>
      <c r="T29" s="576" t="e">
        <f>#REF!</f>
        <v>#REF!</v>
      </c>
      <c r="U29" s="34"/>
      <c r="V29" s="34"/>
      <c r="W29" s="34"/>
      <c r="X29" s="34"/>
      <c r="Y29" s="34"/>
      <c r="Z29" s="34"/>
      <c r="AA29" s="34"/>
    </row>
    <row r="30" spans="1:27">
      <c r="A30" s="613"/>
      <c r="B30" s="613" t="s">
        <v>461</v>
      </c>
      <c r="C30" s="34"/>
      <c r="D30" s="34"/>
      <c r="E30" s="45"/>
      <c r="F30" s="575" t="s">
        <v>43</v>
      </c>
      <c r="G30" s="45"/>
      <c r="H30" s="45"/>
      <c r="I30" s="34"/>
      <c r="J30" s="34"/>
      <c r="K30" s="34"/>
      <c r="L30" s="34"/>
      <c r="M30" s="34"/>
      <c r="N30" s="45"/>
      <c r="O30" s="45" t="e">
        <f t="shared" ref="O30:S30" si="26">O28*O29/1000</f>
        <v>#REF!</v>
      </c>
      <c r="P30" s="45" t="e">
        <f t="shared" si="26"/>
        <v>#REF!</v>
      </c>
      <c r="Q30" s="45" t="e">
        <f t="shared" si="26"/>
        <v>#REF!</v>
      </c>
      <c r="R30" s="45" t="e">
        <f t="shared" si="26"/>
        <v>#REF!</v>
      </c>
      <c r="S30" s="45" t="e">
        <f t="shared" si="26"/>
        <v>#REF!</v>
      </c>
      <c r="T30" s="45" t="e">
        <f>T28*T29/1000</f>
        <v>#REF!</v>
      </c>
      <c r="U30" s="34"/>
      <c r="V30" s="34"/>
      <c r="W30" s="34"/>
      <c r="X30" s="34"/>
      <c r="Y30" s="34"/>
      <c r="Z30" s="34"/>
      <c r="AA30" s="34"/>
    </row>
    <row r="31" spans="1:27">
      <c r="A31" s="613"/>
      <c r="B31" s="34"/>
      <c r="C31" s="34"/>
      <c r="D31" s="34"/>
      <c r="E31" s="45"/>
      <c r="F31" s="45"/>
      <c r="G31" s="45"/>
      <c r="H31" s="45"/>
      <c r="I31" s="34"/>
      <c r="J31" s="34"/>
      <c r="K31" s="34"/>
      <c r="L31" s="34"/>
      <c r="M31" s="34"/>
      <c r="N31" s="45"/>
      <c r="O31" s="45"/>
      <c r="P31" s="45"/>
      <c r="Q31" s="45"/>
      <c r="R31" s="45"/>
      <c r="S31" s="45"/>
      <c r="T31" s="45"/>
      <c r="U31" s="34"/>
      <c r="V31" s="34"/>
      <c r="W31" s="34"/>
      <c r="X31" s="34"/>
      <c r="Y31" s="34"/>
      <c r="Z31" s="34"/>
      <c r="AA31" s="34"/>
    </row>
    <row r="32" spans="1:27">
      <c r="A32" s="613">
        <v>6</v>
      </c>
      <c r="B32" s="721" t="s">
        <v>589</v>
      </c>
      <c r="C32" s="43"/>
      <c r="D32" s="43"/>
      <c r="E32" s="576"/>
      <c r="F32" s="45"/>
      <c r="G32" s="45"/>
      <c r="H32" s="45"/>
      <c r="I32" s="34"/>
      <c r="J32" s="34"/>
      <c r="K32" s="34"/>
      <c r="L32" s="34"/>
      <c r="M32" s="34"/>
      <c r="N32" s="45"/>
      <c r="O32" s="45"/>
      <c r="P32" s="45"/>
      <c r="Q32" s="45"/>
      <c r="R32" s="45"/>
      <c r="S32" s="45"/>
      <c r="T32" s="45"/>
      <c r="U32" s="34"/>
      <c r="V32" s="34"/>
      <c r="W32" s="34"/>
      <c r="X32" s="34"/>
      <c r="Y32" s="34"/>
      <c r="Z32" s="34"/>
      <c r="AA32" s="34"/>
    </row>
    <row r="33" spans="1:27">
      <c r="A33" s="613"/>
      <c r="B33" s="613" t="s">
        <v>590</v>
      </c>
      <c r="C33" s="34"/>
      <c r="D33" s="34"/>
      <c r="E33" s="45" t="s">
        <v>591</v>
      </c>
      <c r="F33" s="45"/>
      <c r="G33" s="45"/>
      <c r="H33" s="45"/>
      <c r="I33" s="34"/>
      <c r="J33" s="34"/>
      <c r="K33" s="34"/>
      <c r="L33" s="34"/>
      <c r="M33" s="34"/>
      <c r="N33" s="45"/>
      <c r="O33" s="45" t="e">
        <f>O35/O36</f>
        <v>#REF!</v>
      </c>
      <c r="P33" s="45" t="e">
        <f t="shared" ref="P33:R33" si="27">P35/P36</f>
        <v>#REF!</v>
      </c>
      <c r="Q33" s="45" t="e">
        <f t="shared" si="27"/>
        <v>#REF!</v>
      </c>
      <c r="R33" s="45" t="e">
        <f t="shared" si="27"/>
        <v>#REF!</v>
      </c>
      <c r="S33" s="45" t="e">
        <f>S35/S36</f>
        <v>#REF!</v>
      </c>
      <c r="T33" s="45" t="e">
        <f>T35/T36</f>
        <v>#REF!</v>
      </c>
      <c r="U33" s="34"/>
      <c r="V33" s="34"/>
      <c r="W33" s="34"/>
      <c r="X33" s="34"/>
      <c r="Y33" s="34"/>
      <c r="Z33" s="34"/>
      <c r="AA33" s="34"/>
    </row>
    <row r="34" spans="1:27">
      <c r="A34" s="613"/>
      <c r="B34" s="613"/>
      <c r="C34" s="34"/>
      <c r="D34" s="34"/>
      <c r="E34" s="45"/>
      <c r="F34" s="45"/>
      <c r="G34" s="45"/>
      <c r="H34" s="45"/>
      <c r="I34" s="34"/>
      <c r="J34" s="34"/>
      <c r="K34" s="34"/>
      <c r="L34" s="34"/>
      <c r="M34" s="34"/>
      <c r="N34" s="45"/>
      <c r="O34" s="45"/>
      <c r="P34" s="45"/>
      <c r="Q34" s="45"/>
      <c r="R34" s="45"/>
      <c r="S34" s="45"/>
      <c r="T34" s="45"/>
      <c r="U34" s="34"/>
      <c r="V34" s="34"/>
      <c r="W34" s="34"/>
      <c r="X34" s="34"/>
      <c r="Y34" s="34"/>
      <c r="Z34" s="34"/>
      <c r="AA34" s="34"/>
    </row>
    <row r="35" spans="1:27">
      <c r="A35" s="613"/>
      <c r="B35" s="613"/>
      <c r="C35" s="34" t="s">
        <v>592</v>
      </c>
      <c r="D35" s="34"/>
      <c r="E35" s="45"/>
      <c r="F35" s="45"/>
      <c r="G35" s="45"/>
      <c r="H35" s="45"/>
      <c r="I35" s="34"/>
      <c r="J35" s="34"/>
      <c r="K35" s="34"/>
      <c r="L35" s="34"/>
      <c r="M35" s="34"/>
      <c r="N35" s="45"/>
      <c r="O35" s="45" t="e">
        <f>#REF!</f>
        <v>#REF!</v>
      </c>
      <c r="P35" s="45" t="e">
        <f>#REF!</f>
        <v>#REF!</v>
      </c>
      <c r="Q35" s="45" t="e">
        <f>#REF!</f>
        <v>#REF!</v>
      </c>
      <c r="R35" s="45" t="e">
        <f>#REF!</f>
        <v>#REF!</v>
      </c>
      <c r="S35" s="45" t="e">
        <f>#REF!</f>
        <v>#REF!</v>
      </c>
      <c r="T35" s="45" t="e">
        <f>#REF!</f>
        <v>#REF!</v>
      </c>
      <c r="U35" s="34"/>
      <c r="V35" s="34"/>
      <c r="W35" s="34"/>
      <c r="X35" s="34"/>
      <c r="Y35" s="34"/>
      <c r="Z35" s="34"/>
      <c r="AA35" s="34"/>
    </row>
    <row r="36" spans="1:27">
      <c r="A36" s="613"/>
      <c r="B36" s="613"/>
      <c r="C36" s="34" t="s">
        <v>593</v>
      </c>
      <c r="D36" s="34"/>
      <c r="E36" s="45"/>
      <c r="F36" s="45"/>
      <c r="G36" s="45"/>
      <c r="H36" s="45"/>
      <c r="I36" s="34"/>
      <c r="J36" s="34"/>
      <c r="K36" s="34"/>
      <c r="L36" s="34"/>
      <c r="M36" s="34"/>
      <c r="N36" s="177"/>
      <c r="O36" s="177" t="e">
        <f>#REF!</f>
        <v>#REF!</v>
      </c>
      <c r="P36" s="177" t="e">
        <f>#REF!</f>
        <v>#REF!</v>
      </c>
      <c r="Q36" s="177" t="e">
        <f>#REF!</f>
        <v>#REF!</v>
      </c>
      <c r="R36" s="177" t="e">
        <f>#REF!</f>
        <v>#REF!</v>
      </c>
      <c r="S36" s="177" t="e">
        <f>#REF!</f>
        <v>#REF!</v>
      </c>
      <c r="T36" s="177" t="e">
        <f>#REF!</f>
        <v>#REF!</v>
      </c>
      <c r="U36" s="34"/>
      <c r="V36" s="34"/>
      <c r="W36" s="34"/>
      <c r="X36" s="34"/>
      <c r="Y36" s="34"/>
      <c r="Z36" s="34"/>
      <c r="AA36" s="34"/>
    </row>
    <row r="37" spans="1:27">
      <c r="A37" s="613"/>
      <c r="B37" s="613"/>
      <c r="C37" s="34"/>
      <c r="D37" s="34"/>
      <c r="E37" s="45"/>
      <c r="F37" s="45"/>
      <c r="G37" s="45"/>
      <c r="H37" s="45"/>
      <c r="I37" s="34"/>
      <c r="J37" s="34"/>
      <c r="K37" s="34"/>
      <c r="L37" s="34"/>
      <c r="M37" s="34"/>
      <c r="N37" s="45"/>
      <c r="O37" s="45"/>
      <c r="P37" s="45"/>
      <c r="Q37" s="45"/>
      <c r="R37" s="45"/>
      <c r="S37" s="45"/>
      <c r="T37" s="45"/>
      <c r="U37" s="34"/>
      <c r="V37" s="34"/>
      <c r="W37" s="34"/>
      <c r="X37" s="34"/>
      <c r="Y37" s="34"/>
      <c r="Z37" s="34"/>
      <c r="AA37" s="34"/>
    </row>
    <row r="38" spans="1:27">
      <c r="A38" s="613"/>
      <c r="B38" s="613" t="s">
        <v>594</v>
      </c>
      <c r="C38" s="34"/>
      <c r="D38" s="34"/>
      <c r="E38" s="45"/>
      <c r="F38" s="45"/>
      <c r="G38" s="45"/>
      <c r="H38" s="45"/>
      <c r="I38" s="34"/>
      <c r="J38" s="34"/>
      <c r="K38" s="34"/>
      <c r="L38" s="34"/>
      <c r="M38" s="34"/>
      <c r="N38" s="45"/>
      <c r="O38" s="45" t="e">
        <f t="shared" ref="O38:T38" si="28">O6-O33</f>
        <v>#REF!</v>
      </c>
      <c r="P38" s="45" t="e">
        <f t="shared" si="28"/>
        <v>#REF!</v>
      </c>
      <c r="Q38" s="45" t="e">
        <f t="shared" si="28"/>
        <v>#REF!</v>
      </c>
      <c r="R38" s="45" t="e">
        <f t="shared" si="28"/>
        <v>#REF!</v>
      </c>
      <c r="S38" s="45" t="e">
        <f t="shared" si="28"/>
        <v>#REF!</v>
      </c>
      <c r="T38" s="45" t="e">
        <f t="shared" si="28"/>
        <v>#REF!</v>
      </c>
      <c r="U38" s="34"/>
      <c r="V38" s="34"/>
      <c r="W38" s="34"/>
      <c r="X38" s="34"/>
      <c r="Y38" s="34"/>
      <c r="Z38" s="34"/>
      <c r="AA38" s="34"/>
    </row>
    <row r="39" spans="1:27">
      <c r="A39" s="613"/>
      <c r="B39" s="613"/>
      <c r="C39" s="34"/>
      <c r="D39" s="34"/>
      <c r="E39" s="45"/>
      <c r="F39" s="45"/>
      <c r="G39" s="45"/>
      <c r="H39" s="45"/>
      <c r="I39" s="34"/>
      <c r="J39" s="34"/>
      <c r="K39" s="34"/>
      <c r="L39" s="34"/>
      <c r="M39" s="34"/>
      <c r="N39" s="45"/>
      <c r="O39" s="45"/>
      <c r="P39" s="45"/>
      <c r="Q39" s="45"/>
      <c r="R39" s="45"/>
      <c r="S39" s="45"/>
      <c r="T39" s="45"/>
      <c r="U39" s="34"/>
      <c r="V39" s="34"/>
      <c r="W39" s="34"/>
      <c r="X39" s="34"/>
      <c r="Y39" s="34"/>
      <c r="Z39" s="34"/>
      <c r="AA39" s="34"/>
    </row>
    <row r="40" spans="1:27">
      <c r="A40" s="613"/>
      <c r="B40" s="613" t="s">
        <v>457</v>
      </c>
      <c r="C40" s="34"/>
      <c r="D40" s="34"/>
      <c r="E40" s="45"/>
      <c r="F40" s="576"/>
      <c r="G40" s="576"/>
      <c r="H40" s="576"/>
      <c r="I40" s="43"/>
      <c r="J40" s="43"/>
      <c r="K40" s="43"/>
      <c r="L40" s="43"/>
      <c r="M40" s="43"/>
      <c r="N40" s="576"/>
      <c r="O40" s="576" t="e">
        <f t="shared" ref="O40:T40" si="29">O5</f>
        <v>#REF!</v>
      </c>
      <c r="P40" s="576" t="e">
        <f t="shared" si="29"/>
        <v>#REF!</v>
      </c>
      <c r="Q40" s="576" t="e">
        <f t="shared" si="29"/>
        <v>#REF!</v>
      </c>
      <c r="R40" s="576" t="e">
        <f t="shared" si="29"/>
        <v>#REF!</v>
      </c>
      <c r="S40" s="576" t="e">
        <f t="shared" si="29"/>
        <v>#REF!</v>
      </c>
      <c r="T40" s="576" t="e">
        <f t="shared" si="29"/>
        <v>#REF!</v>
      </c>
      <c r="U40" s="34"/>
      <c r="V40" s="34"/>
      <c r="W40" s="34"/>
      <c r="X40" s="34"/>
      <c r="Y40" s="34"/>
      <c r="Z40" s="34"/>
      <c r="AA40" s="34"/>
    </row>
    <row r="41" spans="1:27">
      <c r="A41" s="613"/>
      <c r="B41" s="613" t="s">
        <v>578</v>
      </c>
      <c r="C41" s="34"/>
      <c r="D41" s="34"/>
      <c r="E41" s="45"/>
      <c r="F41" s="45"/>
      <c r="G41" s="45"/>
      <c r="H41" s="45"/>
      <c r="I41" s="34"/>
      <c r="J41" s="34"/>
      <c r="K41" s="34"/>
      <c r="L41" s="34"/>
      <c r="M41" s="34"/>
      <c r="N41" s="45"/>
      <c r="O41" s="45" t="e">
        <f t="shared" ref="O41:T41" si="30">O33+O38+O40</f>
        <v>#REF!</v>
      </c>
      <c r="P41" s="45" t="e">
        <f t="shared" si="30"/>
        <v>#REF!</v>
      </c>
      <c r="Q41" s="45" t="e">
        <f t="shared" si="30"/>
        <v>#REF!</v>
      </c>
      <c r="R41" s="45" t="e">
        <f t="shared" si="30"/>
        <v>#REF!</v>
      </c>
      <c r="S41" s="45" t="e">
        <f t="shared" si="30"/>
        <v>#REF!</v>
      </c>
      <c r="T41" s="45" t="e">
        <f t="shared" si="30"/>
        <v>#REF!</v>
      </c>
      <c r="U41" s="34"/>
      <c r="V41" s="34"/>
      <c r="W41" s="34"/>
      <c r="X41" s="34"/>
      <c r="Y41" s="34"/>
      <c r="Z41" s="34"/>
      <c r="AA41" s="34"/>
    </row>
    <row r="42" spans="1:27">
      <c r="A42" s="613"/>
      <c r="B42" s="613"/>
      <c r="C42" s="34"/>
      <c r="D42" s="34"/>
      <c r="E42" s="45"/>
      <c r="F42" s="45"/>
      <c r="G42" s="45"/>
      <c r="H42" s="45"/>
      <c r="I42" s="34"/>
      <c r="J42" s="34"/>
      <c r="K42" s="34"/>
      <c r="L42" s="34"/>
      <c r="M42" s="34"/>
      <c r="N42" s="45"/>
      <c r="O42" s="45"/>
      <c r="P42" s="45"/>
      <c r="Q42" s="45"/>
      <c r="R42" s="45"/>
      <c r="S42" s="45"/>
      <c r="T42" s="45"/>
      <c r="U42" s="34"/>
      <c r="V42" s="34"/>
      <c r="W42" s="34"/>
      <c r="X42" s="34"/>
      <c r="Y42" s="34"/>
      <c r="Z42" s="34"/>
      <c r="AA42" s="34"/>
    </row>
    <row r="43" spans="1:27">
      <c r="A43" s="613"/>
      <c r="B43" s="34" t="s">
        <v>595</v>
      </c>
      <c r="C43" s="34"/>
      <c r="D43" s="34"/>
      <c r="E43" s="34"/>
      <c r="F43" s="34"/>
      <c r="G43" s="34"/>
      <c r="H43" s="34"/>
      <c r="I43" s="34"/>
      <c r="J43" s="34"/>
      <c r="K43" s="34"/>
      <c r="L43" s="34"/>
      <c r="M43" s="34"/>
      <c r="N43" s="177"/>
      <c r="O43" s="177"/>
      <c r="P43" s="177" t="e">
        <f t="shared" ref="P43:T43" si="31">P38/P41</f>
        <v>#REF!</v>
      </c>
      <c r="Q43" s="177" t="e">
        <f t="shared" si="31"/>
        <v>#REF!</v>
      </c>
      <c r="R43" s="177" t="e">
        <f t="shared" si="31"/>
        <v>#REF!</v>
      </c>
      <c r="S43" s="177" t="e">
        <f t="shared" si="31"/>
        <v>#REF!</v>
      </c>
      <c r="T43" s="177" t="e">
        <f t="shared" si="31"/>
        <v>#REF!</v>
      </c>
      <c r="U43" s="34"/>
      <c r="V43" s="34"/>
      <c r="W43" s="34"/>
      <c r="X43" s="34"/>
      <c r="Y43" s="34"/>
      <c r="Z43" s="34"/>
      <c r="AA43" s="34"/>
    </row>
    <row r="44" spans="1:27">
      <c r="A44" s="613"/>
      <c r="B44" s="34" t="s">
        <v>596</v>
      </c>
      <c r="C44" s="34"/>
      <c r="D44" s="34"/>
      <c r="E44" s="34"/>
      <c r="F44" s="34"/>
      <c r="G44" s="34"/>
      <c r="H44" s="34"/>
      <c r="I44" s="34"/>
      <c r="J44" s="34"/>
      <c r="K44" s="34"/>
      <c r="L44" s="34"/>
      <c r="M44" s="34"/>
      <c r="N44" s="177"/>
      <c r="O44" s="177"/>
      <c r="P44" s="177" t="e">
        <f t="shared" ref="P44:T44" si="32">P33/P41</f>
        <v>#REF!</v>
      </c>
      <c r="Q44" s="177" t="e">
        <f t="shared" si="32"/>
        <v>#REF!</v>
      </c>
      <c r="R44" s="177" t="e">
        <f t="shared" si="32"/>
        <v>#REF!</v>
      </c>
      <c r="S44" s="177" t="e">
        <f t="shared" si="32"/>
        <v>#REF!</v>
      </c>
      <c r="T44" s="177" t="e">
        <f t="shared" si="32"/>
        <v>#REF!</v>
      </c>
      <c r="U44" s="34"/>
      <c r="V44" s="34"/>
      <c r="W44" s="34"/>
      <c r="X44" s="34"/>
      <c r="Y44" s="34"/>
      <c r="Z44" s="34"/>
      <c r="AA44" s="34"/>
    </row>
    <row r="45" spans="1:27">
      <c r="A45" s="613"/>
      <c r="B45" s="34" t="s">
        <v>457</v>
      </c>
      <c r="C45" s="34"/>
      <c r="D45" s="34"/>
      <c r="E45" s="34"/>
      <c r="F45" s="43"/>
      <c r="G45" s="43"/>
      <c r="H45" s="43"/>
      <c r="I45" s="43"/>
      <c r="J45" s="43"/>
      <c r="K45" s="43"/>
      <c r="L45" s="43"/>
      <c r="M45" s="43"/>
      <c r="N45" s="876"/>
      <c r="O45" s="876"/>
      <c r="P45" s="876" t="e">
        <f t="shared" ref="P45:S45" si="33">P40/P41</f>
        <v>#REF!</v>
      </c>
      <c r="Q45" s="876" t="e">
        <f t="shared" si="33"/>
        <v>#REF!</v>
      </c>
      <c r="R45" s="876" t="e">
        <f t="shared" si="33"/>
        <v>#REF!</v>
      </c>
      <c r="S45" s="876" t="e">
        <f t="shared" si="33"/>
        <v>#REF!</v>
      </c>
      <c r="T45" s="876" t="e">
        <f>T40/T41</f>
        <v>#REF!</v>
      </c>
      <c r="U45" s="34"/>
      <c r="V45" s="34"/>
      <c r="W45" s="34"/>
      <c r="X45" s="34"/>
      <c r="Y45" s="34"/>
      <c r="Z45" s="34"/>
      <c r="AA45" s="34"/>
    </row>
    <row r="46" spans="1:27">
      <c r="A46" s="613"/>
      <c r="B46" s="34"/>
      <c r="C46" s="34"/>
      <c r="D46" s="34"/>
      <c r="E46" s="34"/>
      <c r="F46" s="34"/>
      <c r="G46" s="34"/>
      <c r="H46" s="34"/>
      <c r="I46" s="34"/>
      <c r="J46" s="34"/>
      <c r="K46" s="34"/>
      <c r="L46" s="34"/>
      <c r="M46" s="34"/>
      <c r="N46" s="805"/>
      <c r="O46" s="805">
        <f t="shared" ref="O46:S46" si="34">SUM(O43:O45)</f>
        <v>0</v>
      </c>
      <c r="P46" s="805" t="e">
        <f t="shared" si="34"/>
        <v>#REF!</v>
      </c>
      <c r="Q46" s="805" t="e">
        <f t="shared" si="34"/>
        <v>#REF!</v>
      </c>
      <c r="R46" s="805" t="e">
        <f t="shared" si="34"/>
        <v>#REF!</v>
      </c>
      <c r="S46" s="805" t="e">
        <f t="shared" si="34"/>
        <v>#REF!</v>
      </c>
      <c r="T46" s="805" t="e">
        <f>SUM(T43:T45)</f>
        <v>#REF!</v>
      </c>
      <c r="U46" s="34"/>
      <c r="V46" s="34"/>
      <c r="W46" s="34"/>
      <c r="X46" s="34"/>
      <c r="Y46" s="34"/>
      <c r="Z46" s="34"/>
      <c r="AA46" s="34"/>
    </row>
    <row r="47" spans="1:27">
      <c r="A47" s="613">
        <v>7</v>
      </c>
      <c r="B47" s="721" t="s">
        <v>597</v>
      </c>
      <c r="C47" s="43"/>
      <c r="D47" s="43"/>
      <c r="E47" s="43"/>
      <c r="F47" s="34"/>
      <c r="G47" s="34"/>
      <c r="H47" s="34"/>
      <c r="I47" s="34"/>
      <c r="J47" s="34"/>
      <c r="K47" s="34"/>
      <c r="L47" s="34"/>
      <c r="M47" s="34"/>
      <c r="N47" s="34"/>
      <c r="O47" s="34"/>
      <c r="P47" s="34"/>
      <c r="Q47" s="34"/>
      <c r="R47" s="34"/>
      <c r="S47" s="34"/>
      <c r="T47" s="45"/>
      <c r="U47" s="34"/>
      <c r="V47" s="34"/>
      <c r="W47" s="34"/>
      <c r="X47" s="34"/>
      <c r="Y47" s="34"/>
      <c r="Z47" s="34"/>
      <c r="AA47" s="34"/>
    </row>
    <row r="48" spans="1:27">
      <c r="A48" s="613"/>
      <c r="B48" s="34" t="s">
        <v>598</v>
      </c>
      <c r="C48" s="34"/>
      <c r="D48" s="34"/>
      <c r="E48" s="34"/>
      <c r="F48" s="34"/>
      <c r="G48" s="34"/>
      <c r="H48" s="34"/>
      <c r="I48" s="34"/>
      <c r="J48" s="34"/>
      <c r="K48" s="34"/>
      <c r="L48" s="34"/>
      <c r="M48" s="34"/>
      <c r="N48" s="34"/>
      <c r="O48" s="34"/>
      <c r="P48" s="34"/>
      <c r="Q48" s="34"/>
      <c r="R48" s="34"/>
      <c r="S48" s="34">
        <f>' 11-BU Perf'!S8</f>
        <v>0</v>
      </c>
      <c r="T48" s="34">
        <f>' 11-BU Perf'!T8</f>
        <v>0</v>
      </c>
      <c r="U48" s="34"/>
      <c r="V48" s="34"/>
      <c r="W48" s="34"/>
      <c r="X48" s="34"/>
      <c r="Y48" s="34"/>
      <c r="Z48" s="34"/>
      <c r="AA48" s="34"/>
    </row>
    <row r="49" spans="1:27">
      <c r="A49" s="613"/>
      <c r="B49" s="34"/>
      <c r="C49" s="34"/>
      <c r="D49" s="34"/>
      <c r="E49" s="34"/>
      <c r="F49" s="34"/>
      <c r="G49" s="34"/>
      <c r="H49" s="34"/>
      <c r="I49" s="34"/>
      <c r="J49" s="34"/>
      <c r="K49" s="34"/>
      <c r="L49" s="34"/>
      <c r="M49" s="34"/>
      <c r="N49" s="45"/>
      <c r="O49" s="45"/>
      <c r="P49" s="45"/>
      <c r="Q49" s="45"/>
      <c r="R49" s="45"/>
      <c r="S49" s="45"/>
      <c r="T49" s="45"/>
      <c r="U49" s="34"/>
      <c r="V49" s="34"/>
      <c r="W49" s="34"/>
      <c r="X49" s="34"/>
      <c r="Y49" s="34"/>
      <c r="Z49" s="34"/>
      <c r="AA49" s="34"/>
    </row>
    <row r="50" spans="1:27">
      <c r="A50" s="613"/>
      <c r="B50" s="34" t="s">
        <v>595</v>
      </c>
      <c r="C50" s="34"/>
      <c r="D50" s="34"/>
      <c r="E50" s="34" t="s">
        <v>599</v>
      </c>
      <c r="F50" s="34"/>
      <c r="G50" s="34"/>
      <c r="H50" s="34"/>
      <c r="I50" s="34"/>
      <c r="J50" s="34"/>
      <c r="K50" s="34"/>
      <c r="L50" s="34"/>
      <c r="M50" s="34"/>
      <c r="N50" s="45"/>
      <c r="O50" s="45"/>
      <c r="P50" s="45"/>
      <c r="Q50" s="45"/>
      <c r="R50" s="45"/>
      <c r="S50" s="124" t="e">
        <f>S38/S48</f>
        <v>#REF!</v>
      </c>
      <c r="T50" s="124" t="e">
        <f>T38/T48</f>
        <v>#REF!</v>
      </c>
      <c r="U50" s="34"/>
      <c r="V50" s="34"/>
      <c r="W50" s="34"/>
      <c r="X50" s="34"/>
      <c r="Y50" s="34"/>
      <c r="Z50" s="34"/>
      <c r="AA50" s="34"/>
    </row>
    <row r="51" spans="1:27">
      <c r="A51" s="613"/>
      <c r="B51" s="34" t="s">
        <v>596</v>
      </c>
      <c r="C51" s="34"/>
      <c r="D51" s="34"/>
      <c r="E51" s="34" t="s">
        <v>599</v>
      </c>
      <c r="F51" s="34"/>
      <c r="G51" s="34"/>
      <c r="H51" s="34"/>
      <c r="I51" s="34"/>
      <c r="J51" s="34"/>
      <c r="K51" s="34"/>
      <c r="L51" s="34"/>
      <c r="M51" s="34"/>
      <c r="N51" s="45"/>
      <c r="O51" s="45"/>
      <c r="P51" s="45"/>
      <c r="Q51" s="45"/>
      <c r="R51" s="45"/>
      <c r="S51" s="877" t="e">
        <f>S33/S48</f>
        <v>#REF!</v>
      </c>
      <c r="T51" s="877" t="e">
        <f>T33/T48</f>
        <v>#REF!</v>
      </c>
      <c r="U51" s="34"/>
      <c r="V51" s="34"/>
      <c r="W51" s="34"/>
      <c r="X51" s="34"/>
      <c r="Y51" s="34"/>
      <c r="Z51" s="34"/>
      <c r="AA51" s="34"/>
    </row>
    <row r="52" spans="1:27">
      <c r="A52" s="613"/>
      <c r="B52" s="34" t="s">
        <v>457</v>
      </c>
      <c r="C52" s="34"/>
      <c r="D52" s="34"/>
      <c r="E52" s="34" t="s">
        <v>599</v>
      </c>
      <c r="F52" s="34"/>
      <c r="G52" s="34"/>
      <c r="H52" s="34"/>
      <c r="I52" s="34"/>
      <c r="J52" s="34"/>
      <c r="K52" s="34"/>
      <c r="L52" s="34"/>
      <c r="M52" s="34"/>
      <c r="N52" s="45"/>
      <c r="O52" s="45"/>
      <c r="P52" s="45"/>
      <c r="Q52" s="45"/>
      <c r="R52" s="45"/>
      <c r="S52" s="878" t="e">
        <f>S40/S48</f>
        <v>#REF!</v>
      </c>
      <c r="T52" s="878" t="e">
        <f>T40/T48</f>
        <v>#REF!</v>
      </c>
      <c r="U52" s="34"/>
      <c r="V52" s="34"/>
      <c r="W52" s="34"/>
      <c r="X52" s="34"/>
      <c r="Y52" s="34"/>
      <c r="Z52" s="34"/>
      <c r="AA52" s="34"/>
    </row>
    <row r="53" spans="1:27">
      <c r="A53" s="613"/>
      <c r="B53" s="34" t="s">
        <v>462</v>
      </c>
      <c r="C53" s="34"/>
      <c r="D53" s="34"/>
      <c r="E53" s="34" t="s">
        <v>599</v>
      </c>
      <c r="F53" s="34"/>
      <c r="G53" s="34"/>
      <c r="H53" s="34"/>
      <c r="I53" s="34"/>
      <c r="J53" s="34"/>
      <c r="K53" s="34"/>
      <c r="L53" s="34"/>
      <c r="M53" s="34"/>
      <c r="N53" s="45"/>
      <c r="O53" s="45"/>
      <c r="P53" s="45"/>
      <c r="Q53" s="45"/>
      <c r="R53" s="45"/>
      <c r="S53" s="124" t="e">
        <f>SUM(S50:S52)</f>
        <v>#REF!</v>
      </c>
      <c r="T53" s="124" t="e">
        <f>SUM(T50:T52)</f>
        <v>#REF!</v>
      </c>
      <c r="U53" s="34"/>
      <c r="V53" s="34"/>
      <c r="W53" s="34"/>
      <c r="X53" s="34"/>
      <c r="Y53" s="34"/>
      <c r="Z53" s="34"/>
      <c r="AA53" s="34"/>
    </row>
    <row r="54" spans="1:27">
      <c r="A54" s="613"/>
      <c r="B54" s="613"/>
      <c r="C54" s="34"/>
      <c r="D54" s="34"/>
      <c r="E54" s="45"/>
      <c r="F54" s="45"/>
      <c r="G54" s="45"/>
      <c r="H54" s="45"/>
      <c r="I54" s="34"/>
      <c r="J54" s="34"/>
      <c r="K54" s="34"/>
      <c r="L54" s="34"/>
      <c r="M54" s="34"/>
      <c r="N54" s="45"/>
      <c r="O54" s="45"/>
      <c r="P54" s="45"/>
      <c r="Q54" s="45"/>
      <c r="R54" s="45"/>
      <c r="S54" s="45"/>
      <c r="T54" s="45"/>
      <c r="U54" s="34"/>
      <c r="V54" s="34"/>
      <c r="W54" s="34"/>
      <c r="X54" s="34"/>
      <c r="Y54" s="34"/>
      <c r="Z54" s="34"/>
      <c r="AA54" s="34"/>
    </row>
    <row r="55" spans="1:27">
      <c r="A55" s="613">
        <v>8</v>
      </c>
      <c r="B55" s="721" t="s">
        <v>600</v>
      </c>
      <c r="C55" s="43"/>
      <c r="D55" s="43"/>
      <c r="E55" s="43"/>
      <c r="F55" s="45" t="s">
        <v>601</v>
      </c>
      <c r="G55" s="45"/>
      <c r="H55" s="45"/>
      <c r="I55" s="34"/>
      <c r="J55" s="34"/>
      <c r="K55" s="34"/>
      <c r="L55" s="34"/>
      <c r="M55" s="34"/>
      <c r="N55" s="440"/>
      <c r="O55" s="440"/>
      <c r="P55" s="440" t="e">
        <f t="shared" ref="P55:S55" si="35">P38/P41</f>
        <v>#REF!</v>
      </c>
      <c r="Q55" s="440" t="e">
        <f t="shared" si="35"/>
        <v>#REF!</v>
      </c>
      <c r="R55" s="440" t="e">
        <f t="shared" si="35"/>
        <v>#REF!</v>
      </c>
      <c r="S55" s="440" t="e">
        <f t="shared" si="35"/>
        <v>#REF!</v>
      </c>
      <c r="T55" s="440" t="e">
        <f>T38/T41</f>
        <v>#REF!</v>
      </c>
      <c r="U55" s="34"/>
      <c r="V55" s="34"/>
      <c r="W55" s="34"/>
      <c r="X55" s="34"/>
      <c r="Y55" s="34"/>
      <c r="Z55" s="34"/>
      <c r="AA55" s="34"/>
    </row>
    <row r="56" spans="1:27">
      <c r="A56" s="613"/>
      <c r="B56" s="613"/>
      <c r="C56" s="34"/>
      <c r="D56" s="34"/>
      <c r="E56" s="45"/>
      <c r="F56" s="45"/>
      <c r="G56" s="45"/>
      <c r="H56" s="45"/>
      <c r="I56" s="34"/>
      <c r="J56" s="34"/>
      <c r="K56" s="34"/>
      <c r="L56" s="34"/>
      <c r="M56" s="34"/>
      <c r="N56" s="440"/>
      <c r="O56" s="440"/>
      <c r="P56" s="440"/>
      <c r="Q56" s="440"/>
      <c r="R56" s="440"/>
      <c r="S56" s="440"/>
      <c r="T56" s="45"/>
      <c r="U56" s="34"/>
      <c r="V56" s="34"/>
      <c r="W56" s="34"/>
      <c r="X56" s="34"/>
      <c r="Y56" s="34"/>
      <c r="Z56" s="34"/>
      <c r="AA56" s="34"/>
    </row>
    <row r="57" spans="1:27">
      <c r="A57" s="613">
        <v>9</v>
      </c>
      <c r="B57" s="721" t="s">
        <v>602</v>
      </c>
      <c r="C57" s="43"/>
      <c r="D57" s="43"/>
      <c r="E57" s="43"/>
      <c r="F57" s="34"/>
      <c r="G57" s="34"/>
      <c r="H57" s="34"/>
      <c r="I57" s="34"/>
      <c r="J57" s="34"/>
      <c r="K57" s="34"/>
      <c r="L57" s="34"/>
      <c r="M57" s="34"/>
      <c r="N57" s="879"/>
      <c r="O57" s="879" t="e">
        <f>O41/O40</f>
        <v>#REF!</v>
      </c>
      <c r="P57" s="879" t="e">
        <f t="shared" ref="P57:S57" si="36">P41/P40</f>
        <v>#REF!</v>
      </c>
      <c r="Q57" s="879" t="e">
        <f t="shared" si="36"/>
        <v>#REF!</v>
      </c>
      <c r="R57" s="879" t="e">
        <f t="shared" si="36"/>
        <v>#REF!</v>
      </c>
      <c r="S57" s="879" t="e">
        <f t="shared" si="36"/>
        <v>#REF!</v>
      </c>
      <c r="T57" s="879" t="e">
        <f>T41/T40</f>
        <v>#REF!</v>
      </c>
      <c r="U57" s="34"/>
      <c r="V57" s="34"/>
      <c r="W57" s="34"/>
      <c r="X57" s="34"/>
      <c r="Y57" s="34"/>
      <c r="Z57" s="34"/>
      <c r="AA57" s="34"/>
    </row>
    <row r="58" spans="1:27">
      <c r="A58" s="613"/>
      <c r="B58" s="613"/>
      <c r="C58" s="34"/>
      <c r="D58" s="34"/>
      <c r="E58" s="34"/>
      <c r="F58" s="34"/>
      <c r="G58" s="34"/>
      <c r="H58" s="34"/>
      <c r="I58" s="34"/>
      <c r="J58" s="34"/>
      <c r="K58" s="34"/>
      <c r="L58" s="34"/>
      <c r="M58" s="34"/>
      <c r="N58" s="879"/>
      <c r="O58" s="879"/>
      <c r="P58" s="879"/>
      <c r="Q58" s="879"/>
      <c r="R58" s="879"/>
      <c r="S58" s="879"/>
      <c r="T58" s="868"/>
      <c r="U58" s="34"/>
      <c r="V58" s="34"/>
      <c r="W58" s="34"/>
      <c r="X58" s="34"/>
      <c r="Y58" s="34"/>
      <c r="Z58" s="34"/>
      <c r="AA58" s="34"/>
    </row>
    <row r="59" spans="1:27">
      <c r="A59" s="613">
        <v>10</v>
      </c>
      <c r="B59" s="721" t="s">
        <v>603</v>
      </c>
      <c r="C59" s="43"/>
      <c r="D59" s="43"/>
      <c r="E59" s="43"/>
      <c r="F59" s="34"/>
      <c r="G59" s="34"/>
      <c r="H59" s="34"/>
      <c r="I59" s="34"/>
      <c r="J59" s="34"/>
      <c r="K59" s="34"/>
      <c r="L59" s="34"/>
      <c r="M59" s="34"/>
      <c r="N59" s="440"/>
      <c r="O59" s="440"/>
      <c r="P59" s="440" t="e">
        <f>P30/'2_Inc-Stat'!O10</f>
        <v>#REF!</v>
      </c>
      <c r="Q59" s="440" t="e">
        <f>Q30/'2_Inc-Stat'!P10</f>
        <v>#REF!</v>
      </c>
      <c r="R59" s="440" t="e">
        <f>R30/'2_Inc-Stat'!Q10</f>
        <v>#REF!</v>
      </c>
      <c r="S59" s="440" t="e">
        <f>S30/'2_Inc-Stat'!R10</f>
        <v>#REF!</v>
      </c>
      <c r="T59" s="440" t="e">
        <f>T30/'2_Inc-Stat'!S10</f>
        <v>#REF!</v>
      </c>
      <c r="U59" s="34"/>
      <c r="V59" s="34"/>
      <c r="W59" s="34"/>
      <c r="X59" s="34"/>
      <c r="Y59" s="34"/>
      <c r="Z59" s="34"/>
      <c r="AA59" s="34"/>
    </row>
    <row r="60" spans="1:27">
      <c r="A60" s="721"/>
      <c r="B60" s="43"/>
      <c r="C60" s="43"/>
      <c r="D60" s="43"/>
      <c r="E60" s="43"/>
      <c r="F60" s="43"/>
      <c r="G60" s="43"/>
      <c r="H60" s="43"/>
      <c r="I60" s="43"/>
      <c r="J60" s="43"/>
      <c r="K60" s="43"/>
      <c r="L60" s="43"/>
      <c r="M60" s="43"/>
      <c r="N60" s="880"/>
      <c r="O60" s="880"/>
      <c r="P60" s="880"/>
      <c r="Q60" s="880"/>
      <c r="R60" s="880"/>
      <c r="S60" s="880"/>
      <c r="T60" s="880"/>
      <c r="U60" s="34"/>
      <c r="V60" s="34"/>
      <c r="W60" s="34"/>
      <c r="X60" s="34"/>
      <c r="Y60" s="34"/>
      <c r="Z60" s="34"/>
      <c r="AA60" s="34"/>
    </row>
    <row r="61" spans="1:27">
      <c r="A61" s="34"/>
      <c r="B61" s="34"/>
      <c r="C61" s="34"/>
      <c r="D61" s="34"/>
      <c r="E61" s="34"/>
      <c r="F61" s="34"/>
      <c r="G61" s="34"/>
      <c r="H61" s="34"/>
      <c r="I61" s="34"/>
      <c r="J61" s="34"/>
      <c r="K61" s="34"/>
      <c r="L61" s="34"/>
      <c r="M61" s="34"/>
      <c r="N61" s="34"/>
      <c r="O61" s="34"/>
      <c r="P61" s="34"/>
      <c r="Q61" s="34"/>
      <c r="R61" s="34"/>
      <c r="S61" s="34"/>
      <c r="T61" s="868"/>
      <c r="U61" s="34"/>
      <c r="V61" s="34"/>
      <c r="W61" s="34"/>
      <c r="X61" s="34"/>
      <c r="Y61" s="34"/>
      <c r="Z61" s="34"/>
      <c r="AA61" s="34"/>
    </row>
    <row r="62" spans="1:27">
      <c r="A62" s="34"/>
      <c r="B62" s="34" t="s">
        <v>458</v>
      </c>
      <c r="C62" s="34"/>
      <c r="D62" s="34"/>
      <c r="E62" s="34"/>
      <c r="F62" s="34"/>
      <c r="G62" s="34"/>
      <c r="H62" s="34"/>
      <c r="I62" s="34"/>
      <c r="J62" s="34"/>
      <c r="K62" s="34"/>
      <c r="L62" s="34"/>
      <c r="M62" s="34"/>
      <c r="N62" s="868"/>
      <c r="O62" s="868" t="e">
        <f>#REF!</f>
        <v>#REF!</v>
      </c>
      <c r="P62" s="868" t="e">
        <f>#REF!</f>
        <v>#REF!</v>
      </c>
      <c r="Q62" s="868" t="e">
        <f>#REF!</f>
        <v>#REF!</v>
      </c>
      <c r="R62" s="868" t="e">
        <f>#REF!</f>
        <v>#REF!</v>
      </c>
      <c r="S62" s="868" t="e">
        <f>#REF!</f>
        <v>#REF!</v>
      </c>
      <c r="T62" s="868" t="e">
        <f>#REF!</f>
        <v>#REF!</v>
      </c>
      <c r="U62" s="34"/>
      <c r="V62" s="34"/>
      <c r="W62" s="34"/>
      <c r="X62" s="34"/>
      <c r="Y62" s="34"/>
      <c r="Z62" s="34"/>
      <c r="AA62" s="34"/>
    </row>
    <row r="63" spans="1:27">
      <c r="A63" s="34"/>
      <c r="B63" s="34" t="s">
        <v>583</v>
      </c>
      <c r="C63" s="34"/>
      <c r="D63" s="34"/>
      <c r="E63" s="34"/>
      <c r="F63" s="34"/>
      <c r="G63" s="34"/>
      <c r="H63" s="34"/>
      <c r="I63" s="34"/>
      <c r="J63" s="34"/>
      <c r="K63" s="34"/>
      <c r="L63" s="34"/>
      <c r="M63" s="34"/>
      <c r="N63" s="868"/>
      <c r="O63" s="868" t="e">
        <f t="shared" ref="O63:T63" si="37">O7</f>
        <v>#REF!</v>
      </c>
      <c r="P63" s="868" t="e">
        <f t="shared" si="37"/>
        <v>#REF!</v>
      </c>
      <c r="Q63" s="868" t="e">
        <f t="shared" si="37"/>
        <v>#REF!</v>
      </c>
      <c r="R63" s="868" t="e">
        <f t="shared" si="37"/>
        <v>#REF!</v>
      </c>
      <c r="S63" s="868" t="e">
        <f t="shared" si="37"/>
        <v>#REF!</v>
      </c>
      <c r="T63" s="868" t="e">
        <f t="shared" si="37"/>
        <v>#REF!</v>
      </c>
      <c r="U63" s="34"/>
      <c r="V63" s="34"/>
      <c r="W63" s="34"/>
      <c r="X63" s="34"/>
      <c r="Y63" s="34"/>
      <c r="Z63" s="34"/>
      <c r="AA63" s="34"/>
    </row>
    <row r="64" spans="1:27">
      <c r="A64" s="34"/>
      <c r="B64" s="34"/>
      <c r="C64" s="34"/>
      <c r="D64" s="34"/>
      <c r="E64" s="34"/>
      <c r="F64" s="34"/>
      <c r="G64" s="34"/>
      <c r="H64" s="34"/>
      <c r="I64" s="34"/>
      <c r="J64" s="34"/>
      <c r="K64" s="34"/>
      <c r="L64" s="34"/>
      <c r="M64" s="34"/>
      <c r="N64" s="868"/>
      <c r="O64" s="868"/>
      <c r="P64" s="868"/>
      <c r="Q64" s="868"/>
      <c r="R64" s="868"/>
      <c r="S64" s="868"/>
      <c r="T64" s="868"/>
      <c r="U64" s="868"/>
      <c r="V64" s="34"/>
      <c r="W64" s="34"/>
      <c r="X64" s="34"/>
      <c r="Y64" s="34"/>
      <c r="Z64" s="34"/>
      <c r="AA64" s="34"/>
    </row>
    <row r="65" spans="1:27">
      <c r="A65" s="34"/>
      <c r="B65" s="34" t="s">
        <v>570</v>
      </c>
      <c r="C65" s="34"/>
      <c r="D65" s="34"/>
      <c r="E65" s="34"/>
      <c r="F65" s="34"/>
      <c r="G65" s="34"/>
      <c r="H65" s="34"/>
      <c r="I65" s="34"/>
      <c r="J65" s="34"/>
      <c r="K65" s="34"/>
      <c r="L65" s="34"/>
      <c r="M65" s="34"/>
      <c r="N65" s="868"/>
      <c r="O65" s="879" t="e">
        <f>O63/O62</f>
        <v>#REF!</v>
      </c>
      <c r="P65" s="879" t="e">
        <f t="shared" ref="P65:T65" si="38">P63/P62</f>
        <v>#REF!</v>
      </c>
      <c r="Q65" s="879" t="e">
        <f t="shared" si="38"/>
        <v>#REF!</v>
      </c>
      <c r="R65" s="879" t="e">
        <f t="shared" si="38"/>
        <v>#REF!</v>
      </c>
      <c r="S65" s="879" t="e">
        <f t="shared" si="38"/>
        <v>#REF!</v>
      </c>
      <c r="T65" s="879" t="e">
        <f t="shared" si="38"/>
        <v>#REF!</v>
      </c>
      <c r="U65" s="868"/>
      <c r="V65" s="34"/>
      <c r="W65" s="34"/>
      <c r="X65" s="34"/>
      <c r="Y65" s="34"/>
      <c r="Z65" s="34"/>
      <c r="AA65" s="34"/>
    </row>
    <row r="66" spans="1:27">
      <c r="A66" s="34"/>
      <c r="B66" s="34"/>
      <c r="C66" s="34"/>
      <c r="D66" s="34"/>
      <c r="E66" s="34"/>
      <c r="F66" s="34"/>
      <c r="G66" s="34"/>
      <c r="H66" s="34"/>
      <c r="I66" s="34"/>
      <c r="J66" s="34"/>
      <c r="K66" s="34"/>
      <c r="L66" s="34"/>
      <c r="M66" s="34"/>
      <c r="N66" s="868"/>
      <c r="O66" s="868"/>
      <c r="P66" s="868"/>
      <c r="Q66" s="868"/>
      <c r="R66" s="868"/>
      <c r="S66" s="868"/>
      <c r="T66" s="868"/>
      <c r="U66" s="868"/>
      <c r="V66" s="34"/>
      <c r="W66" s="34"/>
      <c r="X66" s="34"/>
      <c r="Y66" s="34"/>
      <c r="Z66" s="34"/>
      <c r="AA66" s="34"/>
    </row>
    <row r="67" spans="1:27">
      <c r="A67" s="34"/>
      <c r="B67" s="34" t="s">
        <v>604</v>
      </c>
      <c r="C67" s="34"/>
      <c r="D67" s="34"/>
      <c r="E67" s="34"/>
      <c r="F67" s="34"/>
      <c r="G67" s="34"/>
      <c r="H67" s="34"/>
      <c r="I67" s="34"/>
      <c r="J67" s="34"/>
      <c r="K67" s="34"/>
      <c r="L67" s="34"/>
      <c r="M67" s="34"/>
      <c r="N67" s="177"/>
      <c r="O67" s="177"/>
      <c r="P67" s="177" t="e">
        <f t="shared" ref="P67:T67" si="39">P62/P63</f>
        <v>#REF!</v>
      </c>
      <c r="Q67" s="177" t="e">
        <f t="shared" si="39"/>
        <v>#REF!</v>
      </c>
      <c r="R67" s="177" t="e">
        <f t="shared" si="39"/>
        <v>#REF!</v>
      </c>
      <c r="S67" s="177" t="e">
        <f t="shared" si="39"/>
        <v>#REF!</v>
      </c>
      <c r="T67" s="177" t="e">
        <f t="shared" si="39"/>
        <v>#REF!</v>
      </c>
      <c r="U67" s="868"/>
      <c r="V67" s="34"/>
      <c r="W67" s="34"/>
      <c r="X67" s="34"/>
      <c r="Y67" s="34"/>
      <c r="Z67" s="34"/>
      <c r="AA67" s="34"/>
    </row>
    <row r="68" spans="1:27">
      <c r="A68" s="43"/>
      <c r="B68" s="43"/>
      <c r="C68" s="43"/>
      <c r="D68" s="43"/>
      <c r="E68" s="43"/>
      <c r="F68" s="43"/>
      <c r="G68" s="43"/>
      <c r="H68" s="43"/>
      <c r="I68" s="43"/>
      <c r="J68" s="43"/>
      <c r="K68" s="43"/>
      <c r="L68" s="43"/>
      <c r="M68" s="43"/>
      <c r="N68" s="43"/>
      <c r="O68" s="43"/>
      <c r="P68" s="43"/>
      <c r="Q68" s="43"/>
      <c r="R68" s="43"/>
      <c r="S68" s="43"/>
      <c r="T68" s="43"/>
      <c r="U68" s="868"/>
      <c r="V68" s="34"/>
      <c r="W68" s="34"/>
      <c r="X68" s="34"/>
      <c r="Y68" s="34"/>
      <c r="Z68" s="34"/>
      <c r="AA68" s="34"/>
    </row>
    <row r="69" spans="1:27">
      <c r="A69" s="34"/>
      <c r="B69" s="34"/>
      <c r="C69" s="34"/>
      <c r="D69" s="34"/>
      <c r="E69" s="34"/>
      <c r="F69" s="34"/>
      <c r="G69" s="34"/>
      <c r="H69" s="34"/>
      <c r="I69" s="34"/>
      <c r="J69" s="34"/>
      <c r="K69" s="34"/>
      <c r="L69" s="34"/>
      <c r="M69" s="34"/>
      <c r="N69" s="34"/>
      <c r="O69" s="34"/>
      <c r="P69" s="34"/>
      <c r="Q69" s="34"/>
      <c r="R69" s="34"/>
      <c r="S69" s="34"/>
      <c r="T69" s="34"/>
      <c r="U69" s="868"/>
      <c r="V69" s="34"/>
      <c r="W69" s="34"/>
      <c r="X69" s="34"/>
      <c r="Y69" s="34"/>
      <c r="Z69" s="34"/>
      <c r="AA69" s="34"/>
    </row>
    <row r="70" spans="1:27">
      <c r="A70" s="34"/>
      <c r="B70" s="34"/>
      <c r="C70" s="34"/>
      <c r="D70" s="34"/>
      <c r="E70" s="34"/>
      <c r="F70" s="34"/>
      <c r="G70" s="34"/>
      <c r="H70" s="34"/>
      <c r="I70" s="34"/>
      <c r="J70" s="34"/>
      <c r="K70" s="34"/>
      <c r="L70" s="34"/>
      <c r="M70" s="34"/>
      <c r="N70" s="34"/>
      <c r="O70" s="34"/>
      <c r="P70" s="34"/>
      <c r="Q70" s="34"/>
      <c r="R70" s="34"/>
      <c r="S70" s="34"/>
      <c r="T70" s="34"/>
      <c r="U70" s="868"/>
      <c r="V70" s="34"/>
      <c r="W70" s="34"/>
      <c r="X70" s="34"/>
      <c r="Y70" s="34"/>
      <c r="Z70" s="34"/>
      <c r="AA70" s="34"/>
    </row>
    <row r="71" spans="1:27">
      <c r="A71" s="34"/>
      <c r="B71" s="34"/>
      <c r="C71" s="34"/>
      <c r="D71" s="34"/>
      <c r="E71" s="34"/>
      <c r="F71" s="34"/>
      <c r="G71" s="34"/>
      <c r="H71" s="34"/>
      <c r="I71" s="34"/>
      <c r="J71" s="34"/>
      <c r="K71" s="34"/>
      <c r="L71" s="34"/>
      <c r="M71" s="34"/>
      <c r="N71" s="34"/>
      <c r="O71" s="34"/>
      <c r="P71" s="34"/>
      <c r="Q71" s="34"/>
      <c r="R71" s="34"/>
      <c r="S71" s="34"/>
      <c r="T71" s="34"/>
      <c r="U71" s="868"/>
      <c r="V71" s="34"/>
      <c r="W71" s="34"/>
      <c r="X71" s="34"/>
      <c r="Y71" s="34"/>
      <c r="Z71" s="34"/>
      <c r="AA71" s="34"/>
    </row>
    <row r="72" spans="1:27">
      <c r="A72" s="34"/>
      <c r="B72" s="34"/>
      <c r="C72" s="34"/>
      <c r="D72" s="34"/>
      <c r="E72" s="34"/>
      <c r="F72" s="34"/>
      <c r="G72" s="34"/>
      <c r="H72" s="34"/>
      <c r="I72" s="34"/>
      <c r="J72" s="34"/>
      <c r="K72" s="34"/>
      <c r="L72" s="34"/>
      <c r="M72" s="34"/>
      <c r="N72" s="34"/>
      <c r="O72" s="34"/>
      <c r="P72" s="34"/>
      <c r="Q72" s="34"/>
      <c r="R72" s="34"/>
      <c r="S72" s="34"/>
      <c r="T72" s="34"/>
      <c r="U72" s="868"/>
      <c r="V72" s="34"/>
      <c r="W72" s="34"/>
      <c r="X72" s="34"/>
      <c r="Y72" s="34"/>
      <c r="Z72" s="34"/>
      <c r="AA72" s="34"/>
    </row>
    <row r="73" spans="1:27">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row>
    <row r="74" spans="1:27">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row>
    <row r="75" spans="1:27">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row>
    <row r="76" spans="1:27">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row>
    <row r="77" spans="1:27">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row>
    <row r="78" spans="1:27">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row>
    <row r="79" spans="1:27">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row>
    <row r="80" spans="1:27">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row>
  </sheetData>
  <customSheetViews>
    <customSheetView guid="{5826E3E6-173D-429F-ABE1-D868EE9E034B}" scale="98" fitToPage="1" hiddenColumns="1" topLeftCell="I1">
      <selection activeCell="Q58" sqref="Q58"/>
      <pageMargins left="0" right="0" top="0" bottom="0" header="0" footer="0"/>
      <pageSetup paperSize="9" scale="59" orientation="landscape" horizontalDpi="1200" verticalDpi="1200" r:id="rId1"/>
    </customSheetView>
  </customSheetViews>
  <mergeCells count="3">
    <mergeCell ref="H1:J1"/>
    <mergeCell ref="F1:G1"/>
    <mergeCell ref="A1:D1"/>
  </mergeCells>
  <printOptions headings="1" gridLines="1"/>
  <pageMargins left="0.70866141732283472" right="0.70866141732283472" top="0.74803149606299213" bottom="0.74803149606299213" header="0.31496062992125984" footer="0.31496062992125984"/>
  <pageSetup paperSize="9" scale="52" orientation="landscape" horizontalDpi="1200" verticalDpi="1200" r:id="rId2"/>
  <headerFooter>
    <oddHeader>&amp;L&amp;8&amp;D&amp;C&amp;8DRAFT&amp;R&amp;8&amp;A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pageSetUpPr fitToPage="1"/>
  </sheetPr>
  <dimension ref="A1:AC169"/>
  <sheetViews>
    <sheetView workbookViewId="0">
      <selection sqref="A1:D1"/>
    </sheetView>
  </sheetViews>
  <sheetFormatPr defaultRowHeight="12.75"/>
  <cols>
    <col min="1" max="1" width="3.5703125" customWidth="1"/>
    <col min="3" max="4" width="12.85546875" customWidth="1"/>
    <col min="5" max="5" width="10.5703125" customWidth="1"/>
    <col min="6" max="6" width="11.28515625" customWidth="1"/>
    <col min="7" max="7" width="0" hidden="1" customWidth="1"/>
    <col min="8" max="8" width="10" customWidth="1"/>
    <col min="19" max="20" width="9"/>
    <col min="21" max="21" width="7.85546875" bestFit="1" customWidth="1"/>
    <col min="22" max="22" width="8.85546875" bestFit="1" customWidth="1"/>
  </cols>
  <sheetData>
    <row r="1" spans="1:29" ht="96" customHeight="1" thickBot="1">
      <c r="A1" s="1626" t="s">
        <v>193</v>
      </c>
      <c r="B1" s="1627"/>
      <c r="C1" s="1627"/>
      <c r="D1" s="1627"/>
      <c r="E1" s="858" t="e">
        <f>#REF!</f>
        <v>#REF!</v>
      </c>
      <c r="F1" s="1618" t="e">
        <f>#REF!</f>
        <v>#REF!</v>
      </c>
      <c r="G1" s="1618"/>
      <c r="H1" s="862"/>
      <c r="I1" s="1619">
        <f ca="1">NOW()</f>
        <v>44595.448909606479</v>
      </c>
      <c r="J1" s="1619"/>
      <c r="K1" s="1619"/>
      <c r="L1" s="861"/>
      <c r="M1" s="862"/>
      <c r="N1" s="751"/>
      <c r="O1" s="751"/>
      <c r="P1" s="684"/>
      <c r="Q1" s="684"/>
      <c r="R1" s="684"/>
      <c r="S1" s="684"/>
      <c r="T1" s="684"/>
      <c r="U1" s="684"/>
      <c r="V1" s="684"/>
      <c r="W1" s="684"/>
      <c r="X1" s="684"/>
      <c r="Y1" s="751"/>
      <c r="Z1" s="751"/>
      <c r="AA1" s="751" t="e">
        <f>#REF!</f>
        <v>#REF!</v>
      </c>
      <c r="AB1" s="547"/>
    </row>
    <row r="2" spans="1:29">
      <c r="A2" s="811" t="s">
        <v>129</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row>
    <row r="3" spans="1:29">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c r="AB3" s="604"/>
      <c r="AC3" s="34"/>
    </row>
    <row r="4" spans="1:29">
      <c r="A4" s="613">
        <v>1</v>
      </c>
      <c r="B4" s="613" t="s">
        <v>605</v>
      </c>
      <c r="C4" s="34"/>
      <c r="D4" s="34"/>
      <c r="E4" s="46" t="s">
        <v>606</v>
      </c>
      <c r="F4" s="881" t="e">
        <f>#REF!</f>
        <v>#REF!</v>
      </c>
      <c r="G4" s="804"/>
      <c r="H4" s="882" t="e">
        <f>#REF!</f>
        <v>#REF!</v>
      </c>
      <c r="I4" s="804" t="e">
        <f>#REF!</f>
        <v>#REF!</v>
      </c>
      <c r="J4" s="804" t="e">
        <f>#REF!</f>
        <v>#REF!</v>
      </c>
      <c r="K4" s="804" t="e">
        <f>#REF!</f>
        <v>#REF!</v>
      </c>
      <c r="L4" s="804" t="e">
        <f>#REF!</f>
        <v>#REF!</v>
      </c>
      <c r="M4" s="804" t="e">
        <f>#REF!</f>
        <v>#REF!</v>
      </c>
      <c r="N4" s="804" t="e">
        <f>#REF!</f>
        <v>#REF!</v>
      </c>
      <c r="O4" s="804" t="e">
        <f>#REF!</f>
        <v>#REF!</v>
      </c>
      <c r="P4" s="804" t="e">
        <f>#REF!</f>
        <v>#REF!</v>
      </c>
      <c r="Q4" s="804" t="e">
        <f>#REF!</f>
        <v>#REF!</v>
      </c>
      <c r="R4" s="804" t="e">
        <f>#REF!</f>
        <v>#REF!</v>
      </c>
      <c r="S4" s="804"/>
      <c r="T4" s="804"/>
      <c r="U4" s="804"/>
      <c r="V4" s="34"/>
      <c r="W4" s="34"/>
      <c r="X4" s="34"/>
      <c r="Y4" s="34"/>
      <c r="Z4" s="34"/>
      <c r="AA4" s="34"/>
      <c r="AB4" s="34"/>
      <c r="AC4" s="34"/>
    </row>
    <row r="5" spans="1:29">
      <c r="A5" s="613"/>
      <c r="B5" s="34"/>
      <c r="C5" s="34"/>
      <c r="D5" s="34"/>
      <c r="E5" s="34"/>
      <c r="F5" s="34"/>
      <c r="G5" s="34"/>
      <c r="H5" s="883"/>
      <c r="I5" s="34"/>
      <c r="J5" s="34"/>
      <c r="K5" s="34"/>
      <c r="L5" s="34"/>
      <c r="M5" s="34"/>
      <c r="N5" s="34"/>
      <c r="O5" s="34"/>
      <c r="P5" s="34"/>
      <c r="Q5" s="34"/>
      <c r="R5" s="34"/>
      <c r="S5" s="34"/>
      <c r="T5" s="34"/>
      <c r="U5" s="34"/>
      <c r="V5" s="34"/>
      <c r="W5" s="34"/>
      <c r="X5" s="34"/>
      <c r="Y5" s="34"/>
      <c r="Z5" s="34"/>
      <c r="AA5" s="34"/>
      <c r="AB5" s="34"/>
      <c r="AC5" s="34"/>
    </row>
    <row r="6" spans="1:29">
      <c r="A6" s="613">
        <v>2</v>
      </c>
      <c r="B6" s="613" t="s">
        <v>607</v>
      </c>
      <c r="C6" s="34"/>
      <c r="D6" s="34"/>
      <c r="E6" s="46" t="s">
        <v>455</v>
      </c>
      <c r="F6" s="34"/>
      <c r="G6" s="124" t="e">
        <f>#REF!</f>
        <v>#REF!</v>
      </c>
      <c r="H6" s="884" t="e">
        <f>#REF!</f>
        <v>#REF!</v>
      </c>
      <c r="I6" s="124" t="e">
        <f>#REF!</f>
        <v>#REF!</v>
      </c>
      <c r="J6" s="124" t="e">
        <f>#REF!</f>
        <v>#REF!</v>
      </c>
      <c r="K6" s="124" t="e">
        <f>#REF!</f>
        <v>#REF!</v>
      </c>
      <c r="L6" s="124" t="e">
        <f>#REF!</f>
        <v>#REF!</v>
      </c>
      <c r="M6" s="124" t="e">
        <f>#REF!</f>
        <v>#REF!</v>
      </c>
      <c r="N6" s="124" t="e">
        <f>#REF!</f>
        <v>#REF!</v>
      </c>
      <c r="O6" s="124" t="e">
        <f>#REF!</f>
        <v>#REF!</v>
      </c>
      <c r="P6" s="124" t="e">
        <f>#REF!</f>
        <v>#REF!</v>
      </c>
      <c r="Q6" s="124" t="e">
        <f>#REF!</f>
        <v>#REF!</v>
      </c>
      <c r="R6" s="124" t="e">
        <f>#REF!</f>
        <v>#REF!</v>
      </c>
      <c r="S6" s="124"/>
      <c r="T6" s="124"/>
      <c r="U6" s="690" t="e">
        <f>'Mark-Expect'!#REF!</f>
        <v>#REF!</v>
      </c>
      <c r="V6" s="34"/>
      <c r="W6" s="34"/>
      <c r="X6" s="34"/>
      <c r="Y6" s="34"/>
      <c r="Z6" s="34"/>
      <c r="AA6" s="34"/>
      <c r="AB6" s="34"/>
      <c r="AC6" s="34"/>
    </row>
    <row r="7" spans="1:29">
      <c r="A7" s="613"/>
      <c r="B7" s="739"/>
      <c r="C7" s="34"/>
      <c r="D7" s="34"/>
      <c r="E7" s="631"/>
      <c r="F7" s="45"/>
      <c r="G7" s="45"/>
      <c r="H7" s="885"/>
      <c r="I7" s="45"/>
      <c r="J7" s="45"/>
      <c r="K7" s="45"/>
      <c r="L7" s="45"/>
      <c r="M7" s="45"/>
      <c r="N7" s="45"/>
      <c r="O7" s="45"/>
      <c r="P7" s="45"/>
      <c r="Q7" s="124"/>
      <c r="R7" s="45"/>
      <c r="S7" s="45"/>
      <c r="T7" s="45"/>
      <c r="U7" s="34"/>
      <c r="V7" s="34"/>
      <c r="W7" s="34"/>
      <c r="X7" s="34"/>
      <c r="Y7" s="34"/>
      <c r="Z7" s="34"/>
      <c r="AA7" s="34"/>
      <c r="AB7" s="34"/>
      <c r="AC7" s="34"/>
    </row>
    <row r="8" spans="1:29">
      <c r="A8" s="613">
        <v>3</v>
      </c>
      <c r="B8" s="613" t="s">
        <v>98</v>
      </c>
      <c r="C8" s="34"/>
      <c r="D8" s="34"/>
      <c r="E8" s="631" t="s">
        <v>433</v>
      </c>
      <c r="F8" s="45"/>
      <c r="G8" s="45"/>
      <c r="H8" s="884" t="e">
        <f>#REF!</f>
        <v>#REF!</v>
      </c>
      <c r="I8" s="124" t="e">
        <f>#REF!</f>
        <v>#REF!</v>
      </c>
      <c r="J8" s="124" t="e">
        <f>#REF!</f>
        <v>#REF!</v>
      </c>
      <c r="K8" s="124" t="e">
        <f>#REF!</f>
        <v>#REF!</v>
      </c>
      <c r="L8" s="124" t="e">
        <f>#REF!</f>
        <v>#REF!</v>
      </c>
      <c r="M8" s="124" t="e">
        <f>#REF!</f>
        <v>#REF!</v>
      </c>
      <c r="N8" s="124" t="e">
        <f>#REF!</f>
        <v>#REF!</v>
      </c>
      <c r="O8" s="124" t="e">
        <f>#REF!</f>
        <v>#REF!</v>
      </c>
      <c r="P8" s="124" t="e">
        <f>#REF!</f>
        <v>#REF!</v>
      </c>
      <c r="Q8" s="124" t="e">
        <f>#REF!</f>
        <v>#REF!</v>
      </c>
      <c r="R8" s="124" t="e">
        <f>#REF!</f>
        <v>#REF!</v>
      </c>
      <c r="S8" s="124"/>
      <c r="T8" s="124"/>
      <c r="U8" s="34"/>
      <c r="V8" s="34"/>
      <c r="W8" s="34"/>
      <c r="X8" s="34"/>
      <c r="Y8" s="34"/>
      <c r="Z8" s="34"/>
      <c r="AA8" s="34"/>
      <c r="AB8" s="34"/>
      <c r="AC8" s="34"/>
    </row>
    <row r="9" spans="1:29">
      <c r="A9" s="613"/>
      <c r="B9" s="810"/>
      <c r="C9" s="34"/>
      <c r="D9" s="34"/>
      <c r="E9" s="631"/>
      <c r="F9" s="45"/>
      <c r="G9" s="45"/>
      <c r="H9" s="884"/>
      <c r="I9" s="124"/>
      <c r="J9" s="124"/>
      <c r="K9" s="124"/>
      <c r="L9" s="124"/>
      <c r="M9" s="124"/>
      <c r="N9" s="124"/>
      <c r="O9" s="124"/>
      <c r="P9" s="124"/>
      <c r="Q9" s="124"/>
      <c r="R9" s="45"/>
      <c r="S9" s="45"/>
      <c r="T9" s="45"/>
      <c r="U9" s="34"/>
      <c r="V9" s="34"/>
      <c r="W9" s="34"/>
      <c r="X9" s="34"/>
      <c r="Y9" s="34"/>
      <c r="Z9" s="34"/>
      <c r="AA9" s="34"/>
      <c r="AB9" s="34"/>
      <c r="AC9" s="34"/>
    </row>
    <row r="10" spans="1:29">
      <c r="A10" s="613">
        <v>4</v>
      </c>
      <c r="B10" s="613" t="s">
        <v>608</v>
      </c>
      <c r="C10" s="34"/>
      <c r="D10" s="34"/>
      <c r="E10" s="631" t="s">
        <v>425</v>
      </c>
      <c r="F10" s="45"/>
      <c r="G10" s="124"/>
      <c r="H10" s="886" t="e">
        <f t="shared" ref="H10:R10" si="3">(((H6-G6)+H8)/G6)</f>
        <v>#REF!</v>
      </c>
      <c r="I10" s="887" t="e">
        <f t="shared" si="3"/>
        <v>#REF!</v>
      </c>
      <c r="J10" s="887" t="e">
        <f t="shared" si="3"/>
        <v>#REF!</v>
      </c>
      <c r="K10" s="887" t="e">
        <f t="shared" si="3"/>
        <v>#REF!</v>
      </c>
      <c r="L10" s="887" t="e">
        <f t="shared" si="3"/>
        <v>#REF!</v>
      </c>
      <c r="M10" s="887" t="e">
        <f t="shared" si="3"/>
        <v>#REF!</v>
      </c>
      <c r="N10" s="887" t="e">
        <f t="shared" si="3"/>
        <v>#REF!</v>
      </c>
      <c r="O10" s="887" t="e">
        <f t="shared" si="3"/>
        <v>#REF!</v>
      </c>
      <c r="P10" s="887" t="e">
        <f t="shared" si="3"/>
        <v>#REF!</v>
      </c>
      <c r="Q10" s="887" t="e">
        <f t="shared" si="3"/>
        <v>#REF!</v>
      </c>
      <c r="R10" s="887" t="e">
        <f t="shared" si="3"/>
        <v>#REF!</v>
      </c>
      <c r="S10" s="887"/>
      <c r="T10" s="887"/>
      <c r="U10" s="45" t="s">
        <v>609</v>
      </c>
      <c r="V10" s="34"/>
      <c r="W10" s="34"/>
      <c r="X10" s="34"/>
      <c r="Y10" s="34"/>
      <c r="Z10" s="34"/>
      <c r="AA10" s="34"/>
      <c r="AB10" s="34"/>
      <c r="AC10" s="34"/>
    </row>
    <row r="11" spans="1:29">
      <c r="A11" s="810"/>
      <c r="B11" s="45"/>
      <c r="C11" s="34"/>
      <c r="D11" s="34"/>
      <c r="E11" s="631"/>
      <c r="F11" s="45"/>
      <c r="G11" s="45"/>
      <c r="H11" s="184"/>
      <c r="I11" s="126"/>
      <c r="J11" s="126"/>
      <c r="K11" s="126"/>
      <c r="L11" s="126"/>
      <c r="M11" s="126"/>
      <c r="N11" s="126"/>
      <c r="O11" s="126"/>
      <c r="P11" s="126"/>
      <c r="Q11" s="126"/>
      <c r="R11" s="34"/>
      <c r="S11" s="34"/>
      <c r="T11" s="34"/>
      <c r="U11" s="45"/>
      <c r="V11" s="34"/>
      <c r="W11" s="34"/>
      <c r="X11" s="34"/>
      <c r="Y11" s="34"/>
      <c r="Z11" s="34"/>
      <c r="AA11" s="34"/>
      <c r="AB11" s="34"/>
      <c r="AC11" s="34"/>
    </row>
    <row r="12" spans="1:29">
      <c r="A12" s="810"/>
      <c r="B12" s="45"/>
      <c r="C12" s="34"/>
      <c r="D12" s="34"/>
      <c r="E12" s="631"/>
      <c r="F12" s="45" t="s">
        <v>610</v>
      </c>
      <c r="G12" s="34"/>
      <c r="H12" s="883"/>
      <c r="I12" s="126"/>
      <c r="J12" s="126"/>
      <c r="K12" s="126"/>
      <c r="L12" s="126"/>
      <c r="M12" s="126"/>
      <c r="N12" s="126"/>
      <c r="O12" s="126"/>
      <c r="P12" s="126"/>
      <c r="Q12" s="126"/>
      <c r="R12" s="124" t="e">
        <f>R8</f>
        <v>#REF!</v>
      </c>
      <c r="S12" s="124"/>
      <c r="T12" s="124"/>
      <c r="U12" s="45"/>
      <c r="V12" s="46" t="s">
        <v>611</v>
      </c>
      <c r="W12" s="34"/>
      <c r="X12" s="34"/>
      <c r="Y12" s="34"/>
      <c r="Z12" s="34"/>
      <c r="AA12" s="34"/>
      <c r="AB12" s="34"/>
      <c r="AC12" s="34"/>
    </row>
    <row r="13" spans="1:29">
      <c r="A13" s="810"/>
      <c r="B13" s="45"/>
      <c r="C13" s="34"/>
      <c r="D13" s="34"/>
      <c r="E13" s="631"/>
      <c r="F13" s="45" t="s">
        <v>612</v>
      </c>
      <c r="G13" s="34"/>
      <c r="H13" s="883"/>
      <c r="I13" s="126"/>
      <c r="J13" s="126"/>
      <c r="K13" s="126"/>
      <c r="L13" s="126"/>
      <c r="M13" s="126"/>
      <c r="N13" s="126"/>
      <c r="O13" s="126"/>
      <c r="P13" s="126"/>
      <c r="Q13" s="126"/>
      <c r="R13" s="124" t="e">
        <f>#REF!-#REF!</f>
        <v>#REF!</v>
      </c>
      <c r="S13" s="124"/>
      <c r="T13" s="124"/>
      <c r="U13" s="45"/>
      <c r="V13" s="46" t="s">
        <v>613</v>
      </c>
      <c r="W13" s="34"/>
      <c r="X13" s="34"/>
      <c r="Y13" s="34"/>
      <c r="Z13" s="34"/>
      <c r="AA13" s="34"/>
      <c r="AB13" s="34"/>
      <c r="AC13" s="34"/>
    </row>
    <row r="14" spans="1:29">
      <c r="A14" s="810"/>
      <c r="B14" s="45"/>
      <c r="C14" s="34"/>
      <c r="D14" s="34"/>
      <c r="E14" s="631" t="s">
        <v>614</v>
      </c>
      <c r="F14" s="125" t="s">
        <v>608</v>
      </c>
      <c r="G14" s="34"/>
      <c r="H14" s="883"/>
      <c r="I14" s="126"/>
      <c r="J14" s="126"/>
      <c r="K14" s="126"/>
      <c r="L14" s="126"/>
      <c r="M14" s="126"/>
      <c r="N14" s="126"/>
      <c r="O14" s="126"/>
      <c r="P14" s="126"/>
      <c r="Q14" s="192" t="e">
        <f>#REF!</f>
        <v>#REF!</v>
      </c>
      <c r="R14" s="253" t="e">
        <f>(R12+R13)/#REF!</f>
        <v>#REF!</v>
      </c>
      <c r="S14" s="253"/>
      <c r="T14" s="253"/>
      <c r="U14" s="45" t="s">
        <v>614</v>
      </c>
      <c r="V14" s="249" t="e">
        <f>R14</f>
        <v>#REF!</v>
      </c>
      <c r="W14" s="34"/>
      <c r="X14" s="34"/>
      <c r="Y14" s="34"/>
      <c r="Z14" s="34"/>
      <c r="AA14" s="34"/>
      <c r="AB14" s="34"/>
      <c r="AC14" s="34"/>
    </row>
    <row r="15" spans="1:29">
      <c r="A15" s="810"/>
      <c r="B15" s="45"/>
      <c r="C15" s="34"/>
      <c r="D15" s="34"/>
      <c r="E15" s="34"/>
      <c r="F15" s="45" t="s">
        <v>610</v>
      </c>
      <c r="G15" s="34"/>
      <c r="H15" s="883"/>
      <c r="I15" s="126"/>
      <c r="J15" s="126"/>
      <c r="K15" s="126"/>
      <c r="L15" s="126"/>
      <c r="M15" s="126"/>
      <c r="N15" s="126"/>
      <c r="O15" s="126"/>
      <c r="P15" s="126"/>
      <c r="Q15" s="126"/>
      <c r="R15" s="124" t="e">
        <f>SUM(Q8:R8)</f>
        <v>#REF!</v>
      </c>
      <c r="S15" s="124"/>
      <c r="T15" s="124"/>
      <c r="U15" s="45"/>
      <c r="V15" s="34"/>
      <c r="W15" s="34"/>
      <c r="X15" s="34"/>
      <c r="Y15" s="34"/>
      <c r="Z15" s="34"/>
      <c r="AA15" s="34"/>
      <c r="AB15" s="34"/>
      <c r="AC15" s="34"/>
    </row>
    <row r="16" spans="1:29">
      <c r="A16" s="810"/>
      <c r="B16" s="45"/>
      <c r="C16" s="34"/>
      <c r="D16" s="34"/>
      <c r="E16" s="631"/>
      <c r="F16" s="45" t="s">
        <v>612</v>
      </c>
      <c r="G16" s="34"/>
      <c r="H16" s="883"/>
      <c r="I16" s="126"/>
      <c r="J16" s="126"/>
      <c r="K16" s="126"/>
      <c r="L16" s="126"/>
      <c r="M16" s="126"/>
      <c r="N16" s="126"/>
      <c r="O16" s="126"/>
      <c r="P16" s="126"/>
      <c r="Q16" s="126"/>
      <c r="R16" s="124" t="e">
        <f>#REF!-#REF!</f>
        <v>#REF!</v>
      </c>
      <c r="S16" s="124"/>
      <c r="T16" s="124"/>
      <c r="U16" s="45"/>
      <c r="V16" s="34"/>
      <c r="W16" s="34"/>
      <c r="X16" s="34"/>
      <c r="Y16" s="34"/>
      <c r="Z16" s="34"/>
      <c r="AA16" s="34"/>
      <c r="AB16" s="34"/>
      <c r="AC16" s="34"/>
    </row>
    <row r="17" spans="1:29">
      <c r="A17" s="810"/>
      <c r="B17" s="45"/>
      <c r="C17" s="34"/>
      <c r="D17" s="34"/>
      <c r="E17" s="631" t="s">
        <v>615</v>
      </c>
      <c r="F17" s="125" t="s">
        <v>608</v>
      </c>
      <c r="G17" s="34"/>
      <c r="H17" s="883"/>
      <c r="I17" s="126"/>
      <c r="J17" s="126"/>
      <c r="K17" s="126"/>
      <c r="L17" s="126"/>
      <c r="M17" s="126"/>
      <c r="N17" s="126"/>
      <c r="O17" s="126"/>
      <c r="P17" s="192" t="e">
        <f>#REF!</f>
        <v>#REF!</v>
      </c>
      <c r="Q17" s="253"/>
      <c r="R17" s="253" t="e">
        <f>+(R15+R16)/#REF!</f>
        <v>#REF!</v>
      </c>
      <c r="S17" s="253"/>
      <c r="T17" s="253"/>
      <c r="U17" s="45" t="s">
        <v>615</v>
      </c>
      <c r="V17" s="49" t="e">
        <f>R17/2</f>
        <v>#REF!</v>
      </c>
      <c r="W17" s="34"/>
      <c r="X17" s="34"/>
      <c r="Y17" s="34"/>
      <c r="Z17" s="34"/>
      <c r="AA17" s="34"/>
      <c r="AB17" s="34"/>
      <c r="AC17" s="34"/>
    </row>
    <row r="18" spans="1:29">
      <c r="A18" s="810"/>
      <c r="B18" s="45"/>
      <c r="C18" s="34"/>
      <c r="D18" s="34"/>
      <c r="E18" s="34"/>
      <c r="F18" s="45" t="s">
        <v>610</v>
      </c>
      <c r="G18" s="34"/>
      <c r="H18" s="883"/>
      <c r="I18" s="126"/>
      <c r="J18" s="126"/>
      <c r="K18" s="126"/>
      <c r="L18" s="126"/>
      <c r="M18" s="126"/>
      <c r="N18" s="126"/>
      <c r="O18" s="126"/>
      <c r="P18" s="126"/>
      <c r="Q18" s="126"/>
      <c r="R18" s="124" t="e">
        <f>SUM(P8:R8)</f>
        <v>#REF!</v>
      </c>
      <c r="S18" s="124"/>
      <c r="T18" s="124"/>
      <c r="U18" s="45"/>
      <c r="V18" s="49"/>
      <c r="W18" s="34"/>
      <c r="X18" s="34"/>
      <c r="Y18" s="34"/>
      <c r="Z18" s="34"/>
      <c r="AA18" s="34"/>
      <c r="AB18" s="34"/>
      <c r="AC18" s="34"/>
    </row>
    <row r="19" spans="1:29">
      <c r="A19" s="810"/>
      <c r="B19" s="45"/>
      <c r="C19" s="34"/>
      <c r="D19" s="34"/>
      <c r="E19" s="631"/>
      <c r="F19" s="45" t="s">
        <v>612</v>
      </c>
      <c r="G19" s="34"/>
      <c r="H19" s="883"/>
      <c r="I19" s="126"/>
      <c r="J19" s="126"/>
      <c r="K19" s="126"/>
      <c r="L19" s="126"/>
      <c r="M19" s="126"/>
      <c r="N19" s="126"/>
      <c r="O19" s="126"/>
      <c r="P19" s="126"/>
      <c r="Q19" s="126"/>
      <c r="R19" s="124" t="e">
        <f>#REF!-#REF!</f>
        <v>#REF!</v>
      </c>
      <c r="S19" s="124"/>
      <c r="T19" s="124"/>
      <c r="U19" s="45"/>
      <c r="V19" s="49"/>
      <c r="W19" s="34"/>
      <c r="X19" s="34"/>
      <c r="Y19" s="34"/>
      <c r="Z19" s="34"/>
      <c r="AA19" s="34"/>
      <c r="AB19" s="34"/>
      <c r="AC19" s="34"/>
    </row>
    <row r="20" spans="1:29">
      <c r="A20" s="810"/>
      <c r="B20" s="45"/>
      <c r="C20" s="34"/>
      <c r="D20" s="34"/>
      <c r="E20" s="631" t="s">
        <v>616</v>
      </c>
      <c r="F20" s="125" t="s">
        <v>608</v>
      </c>
      <c r="G20" s="34"/>
      <c r="H20" s="883"/>
      <c r="I20" s="126"/>
      <c r="J20" s="126"/>
      <c r="K20" s="126"/>
      <c r="L20" s="126"/>
      <c r="M20" s="126"/>
      <c r="N20" s="126"/>
      <c r="O20" s="192" t="e">
        <f>#REF!</f>
        <v>#REF!</v>
      </c>
      <c r="P20" s="253"/>
      <c r="Q20" s="253"/>
      <c r="R20" s="253" t="e">
        <f>+(R18+R19)/#REF!</f>
        <v>#REF!</v>
      </c>
      <c r="S20" s="253"/>
      <c r="T20" s="253"/>
      <c r="U20" s="45" t="s">
        <v>616</v>
      </c>
      <c r="V20" s="49" t="e">
        <f>R20/3</f>
        <v>#REF!</v>
      </c>
      <c r="W20" s="34"/>
      <c r="X20" s="34"/>
      <c r="Y20" s="34"/>
      <c r="Z20" s="34"/>
      <c r="AA20" s="34"/>
      <c r="AB20" s="34"/>
      <c r="AC20" s="34"/>
    </row>
    <row r="21" spans="1:29">
      <c r="A21" s="810"/>
      <c r="B21" s="45"/>
      <c r="C21" s="34"/>
      <c r="D21" s="34"/>
      <c r="E21" s="631"/>
      <c r="F21" s="45" t="s">
        <v>610</v>
      </c>
      <c r="G21" s="34"/>
      <c r="H21" s="883"/>
      <c r="I21" s="126"/>
      <c r="J21" s="126"/>
      <c r="K21" s="126"/>
      <c r="L21" s="126"/>
      <c r="M21" s="126"/>
      <c r="N21" s="126"/>
      <c r="O21" s="126"/>
      <c r="P21" s="126"/>
      <c r="Q21" s="126"/>
      <c r="R21" s="124" t="e">
        <f>SUM(O8:R8)</f>
        <v>#REF!</v>
      </c>
      <c r="S21" s="124"/>
      <c r="T21" s="124"/>
      <c r="U21" s="45"/>
      <c r="V21" s="49"/>
      <c r="W21" s="34"/>
      <c r="X21" s="34"/>
      <c r="Y21" s="34"/>
      <c r="Z21" s="34"/>
      <c r="AA21" s="34"/>
      <c r="AB21" s="34"/>
      <c r="AC21" s="34"/>
    </row>
    <row r="22" spans="1:29">
      <c r="A22" s="810"/>
      <c r="B22" s="45"/>
      <c r="C22" s="34"/>
      <c r="D22" s="34"/>
      <c r="E22" s="631"/>
      <c r="F22" s="45" t="s">
        <v>612</v>
      </c>
      <c r="G22" s="34"/>
      <c r="H22" s="883"/>
      <c r="I22" s="126"/>
      <c r="J22" s="126"/>
      <c r="K22" s="126"/>
      <c r="L22" s="126"/>
      <c r="M22" s="126"/>
      <c r="N22" s="126"/>
      <c r="O22" s="126"/>
      <c r="P22" s="126"/>
      <c r="Q22" s="126"/>
      <c r="R22" s="124" t="e">
        <f>#REF!-#REF!</f>
        <v>#REF!</v>
      </c>
      <c r="S22" s="124"/>
      <c r="T22" s="124"/>
      <c r="U22" s="45"/>
      <c r="V22" s="49"/>
      <c r="W22" s="34"/>
      <c r="X22" s="34"/>
      <c r="Y22" s="34"/>
      <c r="Z22" s="34"/>
      <c r="AA22" s="34"/>
      <c r="AB22" s="34"/>
      <c r="AC22" s="34"/>
    </row>
    <row r="23" spans="1:29">
      <c r="A23" s="810"/>
      <c r="B23" s="45"/>
      <c r="C23" s="34"/>
      <c r="D23" s="34"/>
      <c r="E23" s="631" t="s">
        <v>617</v>
      </c>
      <c r="F23" s="125" t="s">
        <v>608</v>
      </c>
      <c r="G23" s="34"/>
      <c r="H23" s="883"/>
      <c r="I23" s="45"/>
      <c r="J23" s="45"/>
      <c r="K23" s="45"/>
      <c r="L23" s="45"/>
      <c r="M23" s="45"/>
      <c r="N23" s="192" t="e">
        <f>#REF!</f>
        <v>#REF!</v>
      </c>
      <c r="O23" s="253"/>
      <c r="P23" s="253"/>
      <c r="Q23" s="253"/>
      <c r="R23" s="253" t="e">
        <f>+(R21+R22)/#REF!</f>
        <v>#REF!</v>
      </c>
      <c r="S23" s="253"/>
      <c r="T23" s="253"/>
      <c r="U23" s="45" t="s">
        <v>617</v>
      </c>
      <c r="V23" s="49" t="e">
        <f>R23/4</f>
        <v>#REF!</v>
      </c>
      <c r="W23" s="34"/>
      <c r="X23" s="34"/>
      <c r="Y23" s="34"/>
      <c r="Z23" s="34"/>
      <c r="AA23" s="34"/>
      <c r="AB23" s="34"/>
      <c r="AC23" s="34"/>
    </row>
    <row r="24" spans="1:29">
      <c r="A24" s="810"/>
      <c r="B24" s="45"/>
      <c r="C24" s="34"/>
      <c r="D24" s="34"/>
      <c r="E24" s="631"/>
      <c r="F24" s="45" t="s">
        <v>610</v>
      </c>
      <c r="G24" s="34"/>
      <c r="H24" s="883"/>
      <c r="I24" s="45"/>
      <c r="J24" s="45"/>
      <c r="K24" s="45"/>
      <c r="L24" s="45"/>
      <c r="M24" s="45"/>
      <c r="N24" s="45"/>
      <c r="O24" s="45"/>
      <c r="P24" s="45"/>
      <c r="Q24" s="45"/>
      <c r="R24" s="124" t="e">
        <f>SUM(N8:R8)</f>
        <v>#REF!</v>
      </c>
      <c r="S24" s="124"/>
      <c r="T24" s="124"/>
      <c r="U24" s="45"/>
      <c r="V24" s="49"/>
      <c r="W24" s="34"/>
      <c r="X24" s="34"/>
      <c r="Y24" s="34"/>
      <c r="Z24" s="34"/>
      <c r="AA24" s="34"/>
      <c r="AB24" s="34"/>
      <c r="AC24" s="34"/>
    </row>
    <row r="25" spans="1:29">
      <c r="A25" s="810"/>
      <c r="B25" s="45"/>
      <c r="C25" s="34"/>
      <c r="D25" s="34"/>
      <c r="E25" s="631"/>
      <c r="F25" s="45" t="s">
        <v>612</v>
      </c>
      <c r="G25" s="34"/>
      <c r="H25" s="883"/>
      <c r="I25" s="45"/>
      <c r="J25" s="45"/>
      <c r="K25" s="45"/>
      <c r="L25" s="45"/>
      <c r="M25" s="45"/>
      <c r="N25" s="45"/>
      <c r="O25" s="45"/>
      <c r="P25" s="45"/>
      <c r="Q25" s="45"/>
      <c r="R25" s="124" t="e">
        <f>#REF!-#REF!</f>
        <v>#REF!</v>
      </c>
      <c r="S25" s="124"/>
      <c r="T25" s="124"/>
      <c r="U25" s="45"/>
      <c r="V25" s="49"/>
      <c r="W25" s="34"/>
      <c r="X25" s="34"/>
      <c r="Y25" s="34"/>
      <c r="Z25" s="34"/>
      <c r="AA25" s="34"/>
      <c r="AB25" s="34"/>
      <c r="AC25" s="34"/>
    </row>
    <row r="26" spans="1:29">
      <c r="A26" s="810"/>
      <c r="B26" s="45"/>
      <c r="C26" s="34"/>
      <c r="D26" s="34"/>
      <c r="E26" s="631" t="s">
        <v>618</v>
      </c>
      <c r="F26" s="125" t="s">
        <v>608</v>
      </c>
      <c r="G26" s="34"/>
      <c r="H26" s="883"/>
      <c r="I26" s="45"/>
      <c r="J26" s="45"/>
      <c r="K26" s="45"/>
      <c r="L26" s="45"/>
      <c r="M26" s="192" t="e">
        <f>#REF!</f>
        <v>#REF!</v>
      </c>
      <c r="N26" s="253"/>
      <c r="O26" s="253"/>
      <c r="P26" s="253"/>
      <c r="Q26" s="253"/>
      <c r="R26" s="253" t="e">
        <f>+(R24+R25)/#REF!</f>
        <v>#REF!</v>
      </c>
      <c r="S26" s="253"/>
      <c r="T26" s="253"/>
      <c r="U26" s="45" t="s">
        <v>618</v>
      </c>
      <c r="V26" s="49" t="e">
        <f>R26/5</f>
        <v>#REF!</v>
      </c>
      <c r="W26" s="34"/>
      <c r="X26" s="34"/>
      <c r="Y26" s="34"/>
      <c r="Z26" s="34"/>
      <c r="AA26" s="34"/>
      <c r="AB26" s="34"/>
      <c r="AC26" s="34"/>
    </row>
    <row r="27" spans="1:29">
      <c r="A27" s="810"/>
      <c r="B27" s="45"/>
      <c r="C27" s="34"/>
      <c r="D27" s="34"/>
      <c r="E27" s="631"/>
      <c r="F27" s="45" t="s">
        <v>610</v>
      </c>
      <c r="G27" s="34"/>
      <c r="H27" s="883"/>
      <c r="I27" s="45"/>
      <c r="J27" s="45"/>
      <c r="K27" s="45"/>
      <c r="L27" s="45"/>
      <c r="M27" s="45"/>
      <c r="N27" s="45"/>
      <c r="O27" s="45"/>
      <c r="P27" s="45"/>
      <c r="Q27" s="45"/>
      <c r="R27" s="124" t="e">
        <f>SUM(M8:R8)</f>
        <v>#REF!</v>
      </c>
      <c r="S27" s="124"/>
      <c r="T27" s="124"/>
      <c r="U27" s="45"/>
      <c r="V27" s="49"/>
      <c r="W27" s="34"/>
      <c r="X27" s="34"/>
      <c r="Y27" s="34"/>
      <c r="Z27" s="34"/>
      <c r="AA27" s="34"/>
      <c r="AB27" s="34"/>
      <c r="AC27" s="34"/>
    </row>
    <row r="28" spans="1:29">
      <c r="A28" s="810"/>
      <c r="B28" s="45"/>
      <c r="C28" s="34"/>
      <c r="D28" s="34"/>
      <c r="E28" s="631"/>
      <c r="F28" s="45" t="s">
        <v>612</v>
      </c>
      <c r="G28" s="34"/>
      <c r="H28" s="883"/>
      <c r="I28" s="45"/>
      <c r="J28" s="45"/>
      <c r="K28" s="45"/>
      <c r="L28" s="45"/>
      <c r="M28" s="45"/>
      <c r="N28" s="45"/>
      <c r="O28" s="45"/>
      <c r="P28" s="45"/>
      <c r="Q28" s="45"/>
      <c r="R28" s="124" t="e">
        <f>#REF!-#REF!</f>
        <v>#REF!</v>
      </c>
      <c r="S28" s="124"/>
      <c r="T28" s="124"/>
      <c r="U28" s="45"/>
      <c r="V28" s="49"/>
      <c r="W28" s="34"/>
      <c r="X28" s="34"/>
      <c r="Y28" s="34"/>
      <c r="Z28" s="34"/>
      <c r="AA28" s="34"/>
      <c r="AB28" s="34"/>
      <c r="AC28" s="34"/>
    </row>
    <row r="29" spans="1:29">
      <c r="A29" s="810"/>
      <c r="B29" s="45"/>
      <c r="C29" s="34"/>
      <c r="D29" s="34"/>
      <c r="E29" s="631" t="s">
        <v>619</v>
      </c>
      <c r="F29" s="125" t="s">
        <v>608</v>
      </c>
      <c r="G29" s="34"/>
      <c r="H29" s="883"/>
      <c r="I29" s="45"/>
      <c r="J29" s="45"/>
      <c r="K29" s="45"/>
      <c r="L29" s="192" t="e">
        <f>#REF!</f>
        <v>#REF!</v>
      </c>
      <c r="M29" s="253"/>
      <c r="N29" s="253"/>
      <c r="O29" s="253"/>
      <c r="P29" s="253"/>
      <c r="Q29" s="253"/>
      <c r="R29" s="253" t="e">
        <f>+(R27+R28)/#REF!</f>
        <v>#REF!</v>
      </c>
      <c r="S29" s="253"/>
      <c r="T29" s="253"/>
      <c r="U29" s="45" t="s">
        <v>619</v>
      </c>
      <c r="V29" s="49" t="e">
        <f>R29/6</f>
        <v>#REF!</v>
      </c>
      <c r="W29" s="34"/>
      <c r="X29" s="34"/>
      <c r="Y29" s="34"/>
      <c r="Z29" s="34"/>
      <c r="AA29" s="34"/>
      <c r="AB29" s="34"/>
      <c r="AC29" s="34"/>
    </row>
    <row r="30" spans="1:29">
      <c r="A30" s="810"/>
      <c r="B30" s="34"/>
      <c r="C30" s="34"/>
      <c r="D30" s="34"/>
      <c r="E30" s="34"/>
      <c r="F30" s="45" t="s">
        <v>610</v>
      </c>
      <c r="G30" s="34"/>
      <c r="H30" s="883"/>
      <c r="I30" s="45"/>
      <c r="J30" s="45"/>
      <c r="K30" s="45"/>
      <c r="L30" s="45"/>
      <c r="M30" s="45"/>
      <c r="N30" s="45"/>
      <c r="O30" s="45"/>
      <c r="P30" s="45"/>
      <c r="Q30" s="45"/>
      <c r="R30" s="124" t="e">
        <f>SUM(L8:R8)</f>
        <v>#REF!</v>
      </c>
      <c r="S30" s="124"/>
      <c r="T30" s="124"/>
      <c r="U30" s="45"/>
      <c r="V30" s="49"/>
      <c r="W30" s="34"/>
      <c r="X30" s="34"/>
      <c r="Y30" s="34"/>
      <c r="Z30" s="34"/>
      <c r="AA30" s="34"/>
      <c r="AB30" s="34"/>
      <c r="AC30" s="34"/>
    </row>
    <row r="31" spans="1:29">
      <c r="A31" s="810"/>
      <c r="B31" s="34"/>
      <c r="C31" s="34"/>
      <c r="D31" s="34"/>
      <c r="E31" s="34"/>
      <c r="F31" s="45" t="s">
        <v>612</v>
      </c>
      <c r="G31" s="34"/>
      <c r="H31" s="883"/>
      <c r="I31" s="45"/>
      <c r="J31" s="45"/>
      <c r="K31" s="45"/>
      <c r="L31" s="45"/>
      <c r="M31" s="45"/>
      <c r="N31" s="45"/>
      <c r="O31" s="45"/>
      <c r="P31" s="45"/>
      <c r="Q31" s="45"/>
      <c r="R31" s="124" t="e">
        <f>#REF!-#REF!</f>
        <v>#REF!</v>
      </c>
      <c r="S31" s="124"/>
      <c r="T31" s="124"/>
      <c r="U31" s="45"/>
      <c r="V31" s="49"/>
      <c r="W31" s="34"/>
      <c r="X31" s="34"/>
      <c r="Y31" s="34"/>
      <c r="Z31" s="34"/>
      <c r="AA31" s="34"/>
      <c r="AB31" s="34"/>
      <c r="AC31" s="34"/>
    </row>
    <row r="32" spans="1:29">
      <c r="A32" s="810"/>
      <c r="B32" s="34"/>
      <c r="C32" s="34"/>
      <c r="D32" s="34"/>
      <c r="E32" s="631" t="s">
        <v>620</v>
      </c>
      <c r="F32" s="125" t="s">
        <v>608</v>
      </c>
      <c r="G32" s="34"/>
      <c r="H32" s="883"/>
      <c r="I32" s="45"/>
      <c r="J32" s="45"/>
      <c r="K32" s="192" t="e">
        <f>#REF!</f>
        <v>#REF!</v>
      </c>
      <c r="L32" s="253"/>
      <c r="M32" s="253"/>
      <c r="N32" s="253"/>
      <c r="O32" s="253"/>
      <c r="P32" s="253"/>
      <c r="Q32" s="253"/>
      <c r="R32" s="253" t="e">
        <f>+(R30+R31)/#REF!</f>
        <v>#REF!</v>
      </c>
      <c r="S32" s="253"/>
      <c r="T32" s="253"/>
      <c r="U32" s="45" t="s">
        <v>620</v>
      </c>
      <c r="V32" s="49" t="e">
        <f>R32/7</f>
        <v>#REF!</v>
      </c>
      <c r="W32" s="34"/>
      <c r="X32" s="34"/>
      <c r="Y32" s="34"/>
      <c r="Z32" s="34"/>
      <c r="AA32" s="34"/>
      <c r="AB32" s="34"/>
      <c r="AC32" s="34"/>
    </row>
    <row r="33" spans="1:29">
      <c r="A33" s="810"/>
      <c r="B33" s="34"/>
      <c r="C33" s="34"/>
      <c r="D33" s="34"/>
      <c r="E33" s="34"/>
      <c r="F33" s="45" t="s">
        <v>610</v>
      </c>
      <c r="G33" s="34"/>
      <c r="H33" s="883"/>
      <c r="I33" s="45"/>
      <c r="J33" s="45"/>
      <c r="K33" s="45"/>
      <c r="L33" s="45"/>
      <c r="M33" s="45"/>
      <c r="N33" s="45"/>
      <c r="O33" s="45"/>
      <c r="P33" s="45"/>
      <c r="Q33" s="45"/>
      <c r="R33" s="124" t="e">
        <f>SUM(K8:R8)</f>
        <v>#REF!</v>
      </c>
      <c r="S33" s="124"/>
      <c r="T33" s="124"/>
      <c r="U33" s="45"/>
      <c r="V33" s="49"/>
      <c r="W33" s="34"/>
      <c r="X33" s="34"/>
      <c r="Y33" s="34"/>
      <c r="Z33" s="34"/>
      <c r="AA33" s="34"/>
      <c r="AB33" s="34"/>
      <c r="AC33" s="34"/>
    </row>
    <row r="34" spans="1:29">
      <c r="A34" s="810"/>
      <c r="B34" s="34"/>
      <c r="C34" s="34"/>
      <c r="D34" s="34"/>
      <c r="E34" s="34"/>
      <c r="F34" s="45" t="s">
        <v>612</v>
      </c>
      <c r="G34" s="34"/>
      <c r="H34" s="883"/>
      <c r="I34" s="45"/>
      <c r="J34" s="45"/>
      <c r="K34" s="45"/>
      <c r="L34" s="45"/>
      <c r="M34" s="45"/>
      <c r="N34" s="45"/>
      <c r="O34" s="45"/>
      <c r="P34" s="45"/>
      <c r="Q34" s="45"/>
      <c r="R34" s="124" t="e">
        <f>#REF!-#REF!</f>
        <v>#REF!</v>
      </c>
      <c r="S34" s="124"/>
      <c r="T34" s="124"/>
      <c r="U34" s="45"/>
      <c r="V34" s="49"/>
      <c r="W34" s="34"/>
      <c r="X34" s="34"/>
      <c r="Y34" s="34"/>
      <c r="Z34" s="34"/>
      <c r="AA34" s="34"/>
      <c r="AB34" s="34"/>
      <c r="AC34" s="34"/>
    </row>
    <row r="35" spans="1:29">
      <c r="A35" s="810"/>
      <c r="B35" s="34"/>
      <c r="C35" s="34"/>
      <c r="D35" s="34"/>
      <c r="E35" s="631" t="s">
        <v>621</v>
      </c>
      <c r="F35" s="125" t="s">
        <v>608</v>
      </c>
      <c r="G35" s="34"/>
      <c r="H35" s="883"/>
      <c r="I35" s="45"/>
      <c r="J35" s="192" t="e">
        <f>#REF!</f>
        <v>#REF!</v>
      </c>
      <c r="K35" s="253"/>
      <c r="L35" s="253"/>
      <c r="M35" s="253"/>
      <c r="N35" s="253"/>
      <c r="O35" s="253"/>
      <c r="P35" s="253"/>
      <c r="Q35" s="253"/>
      <c r="R35" s="253" t="e">
        <f>+(R33+R34)/#REF!</f>
        <v>#REF!</v>
      </c>
      <c r="S35" s="253"/>
      <c r="T35" s="253"/>
      <c r="U35" s="45" t="s">
        <v>621</v>
      </c>
      <c r="V35" s="49" t="e">
        <f>R35/8</f>
        <v>#REF!</v>
      </c>
      <c r="W35" s="34"/>
      <c r="X35" s="34"/>
      <c r="Y35" s="34"/>
      <c r="Z35" s="34"/>
      <c r="AA35" s="34"/>
      <c r="AB35" s="34"/>
      <c r="AC35" s="34"/>
    </row>
    <row r="36" spans="1:29">
      <c r="A36" s="810"/>
      <c r="B36" s="34"/>
      <c r="C36" s="34"/>
      <c r="D36" s="34"/>
      <c r="E36" s="34"/>
      <c r="F36" s="45" t="s">
        <v>610</v>
      </c>
      <c r="G36" s="34"/>
      <c r="H36" s="883"/>
      <c r="I36" s="45"/>
      <c r="J36" s="45"/>
      <c r="K36" s="45"/>
      <c r="L36" s="45"/>
      <c r="M36" s="45"/>
      <c r="N36" s="45"/>
      <c r="O36" s="45"/>
      <c r="P36" s="45"/>
      <c r="Q36" s="45"/>
      <c r="R36" s="124" t="e">
        <f>SUM(J8:R8)</f>
        <v>#REF!</v>
      </c>
      <c r="S36" s="124"/>
      <c r="T36" s="124"/>
      <c r="U36" s="45"/>
      <c r="V36" s="49"/>
      <c r="W36" s="34"/>
      <c r="X36" s="34"/>
      <c r="Y36" s="34"/>
      <c r="Z36" s="34"/>
      <c r="AA36" s="34"/>
      <c r="AB36" s="34"/>
      <c r="AC36" s="34"/>
    </row>
    <row r="37" spans="1:29">
      <c r="A37" s="810"/>
      <c r="B37" s="34"/>
      <c r="C37" s="34"/>
      <c r="D37" s="34"/>
      <c r="E37" s="34"/>
      <c r="F37" s="45" t="s">
        <v>612</v>
      </c>
      <c r="G37" s="34"/>
      <c r="H37" s="883"/>
      <c r="I37" s="45"/>
      <c r="J37" s="45"/>
      <c r="K37" s="45"/>
      <c r="L37" s="45"/>
      <c r="M37" s="45"/>
      <c r="N37" s="45"/>
      <c r="O37" s="45"/>
      <c r="P37" s="45"/>
      <c r="Q37" s="45"/>
      <c r="R37" s="124" t="e">
        <f>#REF!-#REF!</f>
        <v>#REF!</v>
      </c>
      <c r="S37" s="124"/>
      <c r="T37" s="124"/>
      <c r="U37" s="45"/>
      <c r="V37" s="49"/>
      <c r="W37" s="34"/>
      <c r="X37" s="34"/>
      <c r="Y37" s="34"/>
      <c r="Z37" s="34"/>
      <c r="AA37" s="34"/>
      <c r="AB37" s="34"/>
      <c r="AC37" s="34"/>
    </row>
    <row r="38" spans="1:29">
      <c r="A38" s="810"/>
      <c r="B38" s="34"/>
      <c r="C38" s="34"/>
      <c r="D38" s="34"/>
      <c r="E38" s="631" t="s">
        <v>622</v>
      </c>
      <c r="F38" s="45" t="s">
        <v>608</v>
      </c>
      <c r="G38" s="34"/>
      <c r="H38" s="883"/>
      <c r="I38" s="192" t="e">
        <f>#REF!</f>
        <v>#REF!</v>
      </c>
      <c r="J38" s="253"/>
      <c r="K38" s="253"/>
      <c r="L38" s="253"/>
      <c r="M38" s="253"/>
      <c r="N38" s="253"/>
      <c r="O38" s="253"/>
      <c r="P38" s="253"/>
      <c r="Q38" s="253"/>
      <c r="R38" s="253" t="e">
        <f>+(R36+R37)/#REF!</f>
        <v>#REF!</v>
      </c>
      <c r="S38" s="253"/>
      <c r="T38" s="253"/>
      <c r="U38" s="45" t="s">
        <v>622</v>
      </c>
      <c r="V38" s="49" t="e">
        <f>R38/9</f>
        <v>#REF!</v>
      </c>
      <c r="W38" s="34"/>
      <c r="X38" s="34"/>
      <c r="Y38" s="34"/>
      <c r="Z38" s="34"/>
      <c r="AA38" s="34"/>
      <c r="AB38" s="34"/>
      <c r="AC38" s="34"/>
    </row>
    <row r="39" spans="1:29">
      <c r="A39" s="810"/>
      <c r="B39" s="34"/>
      <c r="C39" s="34"/>
      <c r="D39" s="34"/>
      <c r="E39" s="34"/>
      <c r="F39" s="45" t="s">
        <v>610</v>
      </c>
      <c r="G39" s="34"/>
      <c r="H39" s="883"/>
      <c r="I39" s="45"/>
      <c r="J39" s="45"/>
      <c r="K39" s="45"/>
      <c r="L39" s="45"/>
      <c r="M39" s="45"/>
      <c r="N39" s="45"/>
      <c r="O39" s="45"/>
      <c r="P39" s="45"/>
      <c r="Q39" s="45"/>
      <c r="R39" s="124" t="e">
        <f>SUM(I8:R8)</f>
        <v>#REF!</v>
      </c>
      <c r="S39" s="124"/>
      <c r="T39" s="124"/>
      <c r="U39" s="45"/>
      <c r="V39" s="49"/>
      <c r="W39" s="34"/>
      <c r="X39" s="34"/>
      <c r="Y39" s="34"/>
      <c r="Z39" s="34"/>
      <c r="AA39" s="34"/>
      <c r="AB39" s="34"/>
      <c r="AC39" s="34"/>
    </row>
    <row r="40" spans="1:29">
      <c r="A40" s="810"/>
      <c r="B40" s="34"/>
      <c r="C40" s="34"/>
      <c r="D40" s="34"/>
      <c r="E40" s="34"/>
      <c r="F40" s="45" t="s">
        <v>612</v>
      </c>
      <c r="G40" s="34"/>
      <c r="H40" s="883"/>
      <c r="I40" s="45"/>
      <c r="J40" s="45"/>
      <c r="K40" s="45"/>
      <c r="L40" s="45"/>
      <c r="M40" s="45"/>
      <c r="N40" s="45"/>
      <c r="O40" s="45"/>
      <c r="P40" s="45"/>
      <c r="Q40" s="45"/>
      <c r="R40" s="124" t="e">
        <f>#REF!-#REF!</f>
        <v>#REF!</v>
      </c>
      <c r="S40" s="124"/>
      <c r="T40" s="124"/>
      <c r="U40" s="45"/>
      <c r="V40" s="49"/>
      <c r="W40" s="34"/>
      <c r="X40" s="34"/>
      <c r="Y40" s="34"/>
      <c r="Z40" s="34"/>
      <c r="AA40" s="34"/>
      <c r="AB40" s="34"/>
      <c r="AC40" s="34"/>
    </row>
    <row r="41" spans="1:29">
      <c r="A41" s="810"/>
      <c r="B41" s="34"/>
      <c r="C41" s="34"/>
      <c r="D41" s="34"/>
      <c r="E41" s="631" t="s">
        <v>623</v>
      </c>
      <c r="F41" s="45" t="s">
        <v>608</v>
      </c>
      <c r="G41" s="124"/>
      <c r="H41" s="241" t="e">
        <f>#REF!</f>
        <v>#REF!</v>
      </c>
      <c r="I41" s="253"/>
      <c r="J41" s="253"/>
      <c r="K41" s="253"/>
      <c r="L41" s="253"/>
      <c r="M41" s="253"/>
      <c r="N41" s="253"/>
      <c r="O41" s="253"/>
      <c r="P41" s="253"/>
      <c r="Q41" s="253"/>
      <c r="R41" s="253" t="e">
        <f>+(R39+R40)/#REF!</f>
        <v>#REF!</v>
      </c>
      <c r="S41" s="253"/>
      <c r="T41" s="253"/>
      <c r="U41" s="45" t="s">
        <v>623</v>
      </c>
      <c r="V41" s="49" t="e">
        <f>R41/10</f>
        <v>#REF!</v>
      </c>
      <c r="W41" s="34"/>
      <c r="X41" s="34"/>
      <c r="Y41" s="34"/>
      <c r="Z41" s="34"/>
      <c r="AA41" s="34"/>
      <c r="AB41" s="34"/>
      <c r="AC41" s="34"/>
    </row>
    <row r="42" spans="1:29">
      <c r="A42" s="613"/>
      <c r="B42" s="45"/>
      <c r="C42" s="45"/>
      <c r="D42" s="45"/>
      <c r="E42" s="45"/>
      <c r="F42" s="45"/>
      <c r="G42" s="34"/>
      <c r="H42" s="34"/>
      <c r="I42" s="34"/>
      <c r="J42" s="34"/>
      <c r="K42" s="34"/>
      <c r="L42" s="34"/>
      <c r="M42" s="34"/>
      <c r="N42" s="34"/>
      <c r="O42" s="34"/>
      <c r="P42" s="34"/>
      <c r="Q42" s="34"/>
      <c r="R42" s="34"/>
      <c r="S42" s="34"/>
      <c r="T42" s="34"/>
      <c r="U42" s="34"/>
      <c r="V42" s="34"/>
      <c r="W42" s="34"/>
      <c r="X42" s="34"/>
      <c r="Y42" s="34"/>
      <c r="Z42" s="34"/>
      <c r="AA42" s="34"/>
      <c r="AB42" s="34"/>
      <c r="AC42" s="34"/>
    </row>
    <row r="43" spans="1:29">
      <c r="A43" s="722"/>
      <c r="B43" s="768"/>
      <c r="C43" s="768"/>
      <c r="D43" s="768"/>
      <c r="E43" s="768"/>
      <c r="F43" s="888"/>
      <c r="G43" s="768"/>
      <c r="H43" s="772"/>
      <c r="I43" s="889">
        <v>2007</v>
      </c>
      <c r="J43" s="889">
        <f t="shared" ref="J43:R43" si="4">I43+1</f>
        <v>2008</v>
      </c>
      <c r="K43" s="889">
        <f t="shared" si="4"/>
        <v>2009</v>
      </c>
      <c r="L43" s="889">
        <f t="shared" si="4"/>
        <v>2010</v>
      </c>
      <c r="M43" s="889">
        <f t="shared" si="4"/>
        <v>2011</v>
      </c>
      <c r="N43" s="889">
        <f t="shared" si="4"/>
        <v>2012</v>
      </c>
      <c r="O43" s="889">
        <f t="shared" si="4"/>
        <v>2013</v>
      </c>
      <c r="P43" s="889">
        <f t="shared" si="4"/>
        <v>2014</v>
      </c>
      <c r="Q43" s="889">
        <f t="shared" si="4"/>
        <v>2015</v>
      </c>
      <c r="R43" s="889">
        <f t="shared" si="4"/>
        <v>2016</v>
      </c>
      <c r="S43" s="890"/>
      <c r="T43" s="890"/>
      <c r="U43" s="46" t="s">
        <v>432</v>
      </c>
      <c r="V43" s="34" t="s">
        <v>624</v>
      </c>
      <c r="W43" s="34"/>
      <c r="X43" s="34"/>
      <c r="Y43" s="34"/>
      <c r="Z43" s="34"/>
      <c r="AA43" s="34"/>
      <c r="AB43" s="34"/>
      <c r="AC43" s="34"/>
    </row>
    <row r="44" spans="1:29">
      <c r="A44" s="613">
        <v>5</v>
      </c>
      <c r="B44" s="613" t="s">
        <v>625</v>
      </c>
      <c r="C44" s="45"/>
      <c r="D44" s="45"/>
      <c r="E44" s="45"/>
      <c r="F44" s="45"/>
      <c r="G44" s="34"/>
      <c r="H44" s="772"/>
      <c r="I44" s="772"/>
      <c r="J44" s="772"/>
      <c r="K44" s="772"/>
      <c r="L44" s="772"/>
      <c r="M44" s="772"/>
      <c r="N44" s="772"/>
      <c r="O44" s="772"/>
      <c r="P44" s="772"/>
      <c r="Q44" s="772"/>
      <c r="R44" s="772"/>
      <c r="S44" s="772"/>
      <c r="T44" s="772"/>
      <c r="U44" s="612" t="s">
        <v>626</v>
      </c>
      <c r="V44" s="34"/>
      <c r="W44" s="34"/>
      <c r="X44" s="34"/>
      <c r="Y44" s="34"/>
      <c r="Z44" s="34"/>
      <c r="AA44" s="34"/>
      <c r="AB44" s="34"/>
      <c r="AC44" s="34"/>
    </row>
    <row r="45" spans="1:29">
      <c r="A45" s="613"/>
      <c r="B45" s="613"/>
      <c r="C45" s="45"/>
      <c r="D45" s="45"/>
      <c r="E45" s="45"/>
      <c r="F45" s="45"/>
      <c r="G45" s="34"/>
      <c r="H45" s="772"/>
      <c r="I45" s="772"/>
      <c r="J45" s="772"/>
      <c r="K45" s="772"/>
      <c r="L45" s="772"/>
      <c r="M45" s="772"/>
      <c r="N45" s="772"/>
      <c r="O45" s="772"/>
      <c r="P45" s="772"/>
      <c r="Q45" s="772"/>
      <c r="R45" s="772"/>
      <c r="S45" s="772"/>
      <c r="T45" s="772"/>
      <c r="U45" s="46"/>
      <c r="V45" s="34"/>
      <c r="W45" s="34"/>
      <c r="X45" s="34"/>
      <c r="Y45" s="34"/>
      <c r="Z45" s="34"/>
      <c r="AA45" s="34"/>
      <c r="AB45" s="34"/>
      <c r="AC45" s="34"/>
    </row>
    <row r="46" spans="1:29">
      <c r="A46" s="613"/>
      <c r="B46" s="34" t="s">
        <v>608</v>
      </c>
      <c r="C46" s="45"/>
      <c r="D46" s="45"/>
      <c r="E46" s="45"/>
      <c r="F46" s="45"/>
      <c r="G46" s="34"/>
      <c r="H46" s="45"/>
      <c r="I46" s="791" t="e">
        <f t="shared" ref="I46:Q46" si="5">I10</f>
        <v>#REF!</v>
      </c>
      <c r="J46" s="791" t="e">
        <f t="shared" si="5"/>
        <v>#REF!</v>
      </c>
      <c r="K46" s="791" t="e">
        <f t="shared" si="5"/>
        <v>#REF!</v>
      </c>
      <c r="L46" s="791" t="e">
        <f t="shared" si="5"/>
        <v>#REF!</v>
      </c>
      <c r="M46" s="791" t="e">
        <f t="shared" si="5"/>
        <v>#REF!</v>
      </c>
      <c r="N46" s="791" t="e">
        <f t="shared" si="5"/>
        <v>#REF!</v>
      </c>
      <c r="O46" s="791" t="e">
        <f t="shared" si="5"/>
        <v>#REF!</v>
      </c>
      <c r="P46" s="791" t="e">
        <f t="shared" si="5"/>
        <v>#REF!</v>
      </c>
      <c r="Q46" s="791" t="e">
        <f t="shared" si="5"/>
        <v>#REF!</v>
      </c>
      <c r="R46" s="791" t="e">
        <f>R10</f>
        <v>#REF!</v>
      </c>
      <c r="S46" s="791"/>
      <c r="T46" s="791"/>
      <c r="U46" s="805" t="e">
        <f>AVERAGE(I46:R46)</f>
        <v>#REF!</v>
      </c>
      <c r="V46" s="805" t="e">
        <f>SUM(I46:R46)</f>
        <v>#REF!</v>
      </c>
      <c r="W46" s="34"/>
      <c r="X46" s="34"/>
      <c r="Y46" s="34"/>
      <c r="Z46" s="34"/>
      <c r="AA46" s="34"/>
      <c r="AB46" s="34"/>
      <c r="AC46" s="34"/>
    </row>
    <row r="47" spans="1:29">
      <c r="A47" s="613"/>
      <c r="B47" s="34" t="s">
        <v>627</v>
      </c>
      <c r="C47" s="45"/>
      <c r="D47" s="45"/>
      <c r="E47" s="45"/>
      <c r="F47" s="45"/>
      <c r="G47" s="34"/>
      <c r="H47" s="45"/>
      <c r="I47" s="876" t="e">
        <f>H4</f>
        <v>#REF!</v>
      </c>
      <c r="J47" s="876" t="e">
        <f t="shared" ref="J47:R47" si="6">I4</f>
        <v>#REF!</v>
      </c>
      <c r="K47" s="876" t="e">
        <f t="shared" si="6"/>
        <v>#REF!</v>
      </c>
      <c r="L47" s="876" t="e">
        <f t="shared" si="6"/>
        <v>#REF!</v>
      </c>
      <c r="M47" s="876" t="e">
        <f t="shared" si="6"/>
        <v>#REF!</v>
      </c>
      <c r="N47" s="876" t="e">
        <f t="shared" si="6"/>
        <v>#REF!</v>
      </c>
      <c r="O47" s="876" t="e">
        <f t="shared" si="6"/>
        <v>#REF!</v>
      </c>
      <c r="P47" s="876" t="e">
        <f t="shared" si="6"/>
        <v>#REF!</v>
      </c>
      <c r="Q47" s="876" t="e">
        <f t="shared" si="6"/>
        <v>#REF!</v>
      </c>
      <c r="R47" s="876" t="e">
        <f t="shared" si="6"/>
        <v>#REF!</v>
      </c>
      <c r="S47" s="876"/>
      <c r="T47" s="876"/>
      <c r="U47" s="891" t="e">
        <f>AVERAGE(I47:R47)</f>
        <v>#REF!</v>
      </c>
      <c r="V47" s="891" t="e">
        <f>SUM(I47:R47)</f>
        <v>#REF!</v>
      </c>
      <c r="W47" s="34"/>
      <c r="X47" s="34"/>
      <c r="Y47" s="34"/>
      <c r="Z47" s="34"/>
      <c r="AA47" s="34"/>
      <c r="AB47" s="34"/>
      <c r="AC47" s="34"/>
    </row>
    <row r="48" spans="1:29">
      <c r="A48" s="613"/>
      <c r="B48" s="613" t="s">
        <v>628</v>
      </c>
      <c r="C48" s="45"/>
      <c r="D48" s="45"/>
      <c r="E48" s="613" t="s">
        <v>629</v>
      </c>
      <c r="F48" s="34"/>
      <c r="G48" s="34"/>
      <c r="H48" s="45"/>
      <c r="I48" s="892" t="e">
        <f t="shared" ref="I48:R48" si="7">I46-I47</f>
        <v>#REF!</v>
      </c>
      <c r="J48" s="892" t="e">
        <f t="shared" si="7"/>
        <v>#REF!</v>
      </c>
      <c r="K48" s="892" t="e">
        <f t="shared" si="7"/>
        <v>#REF!</v>
      </c>
      <c r="L48" s="892" t="e">
        <f t="shared" si="7"/>
        <v>#REF!</v>
      </c>
      <c r="M48" s="892" t="e">
        <f t="shared" si="7"/>
        <v>#REF!</v>
      </c>
      <c r="N48" s="892" t="e">
        <f t="shared" si="7"/>
        <v>#REF!</v>
      </c>
      <c r="O48" s="892" t="e">
        <f t="shared" si="7"/>
        <v>#REF!</v>
      </c>
      <c r="P48" s="892" t="e">
        <f t="shared" si="7"/>
        <v>#REF!</v>
      </c>
      <c r="Q48" s="892" t="e">
        <f t="shared" si="7"/>
        <v>#REF!</v>
      </c>
      <c r="R48" s="892" t="e">
        <f t="shared" si="7"/>
        <v>#REF!</v>
      </c>
      <c r="S48" s="892"/>
      <c r="T48" s="892"/>
      <c r="U48" s="893" t="e">
        <f>AVERAGE(I48:R48)</f>
        <v>#REF!</v>
      </c>
      <c r="V48" s="805" t="e">
        <f>SUM(I48:R48)</f>
        <v>#REF!</v>
      </c>
      <c r="W48" s="34"/>
      <c r="X48" s="34"/>
      <c r="Y48" s="34"/>
      <c r="Z48" s="34"/>
      <c r="AA48" s="34"/>
      <c r="AB48" s="34"/>
      <c r="AC48" s="34"/>
    </row>
    <row r="49" spans="1:29">
      <c r="A49" s="613"/>
      <c r="B49" s="34"/>
      <c r="C49" s="34"/>
      <c r="D49" s="34"/>
      <c r="E49" s="34" t="s">
        <v>630</v>
      </c>
      <c r="F49" s="34"/>
      <c r="G49" s="34"/>
      <c r="H49" s="34"/>
      <c r="I49" s="894">
        <v>0.18820672957388263</v>
      </c>
      <c r="J49" s="894">
        <v>-0.57514685090616147</v>
      </c>
      <c r="K49" s="894">
        <v>0.15899989321358182</v>
      </c>
      <c r="L49" s="894">
        <v>-0.19496977748490357</v>
      </c>
      <c r="M49" s="894">
        <v>-6.4456125507935474E-2</v>
      </c>
      <c r="N49" s="894">
        <v>-0.33851148089597349</v>
      </c>
      <c r="O49" s="894">
        <v>0.46287360558816371</v>
      </c>
      <c r="P49" s="894">
        <v>-0.26002107573051753</v>
      </c>
      <c r="Q49" s="894">
        <v>-0.26050119470302768</v>
      </c>
      <c r="R49" s="894">
        <v>2.5731039889271279E-2</v>
      </c>
      <c r="S49" s="894"/>
      <c r="T49" s="894"/>
      <c r="U49" s="895">
        <f>AVERAGE(I49:R49)</f>
        <v>-8.5779523696361965E-2</v>
      </c>
      <c r="V49" s="891">
        <f>SUM(I49:R49)</f>
        <v>-0.8577952369636197</v>
      </c>
      <c r="W49" s="34"/>
      <c r="X49" s="34"/>
      <c r="Y49" s="34"/>
      <c r="Z49" s="34"/>
      <c r="AA49" s="34"/>
      <c r="AB49" s="34"/>
      <c r="AC49" s="34"/>
    </row>
    <row r="50" spans="1:29">
      <c r="A50" s="613"/>
      <c r="B50" s="34"/>
      <c r="C50" s="34"/>
      <c r="D50" s="34"/>
      <c r="E50" s="34"/>
      <c r="F50" s="34"/>
      <c r="G50" s="34"/>
      <c r="H50" s="34"/>
      <c r="I50" s="177"/>
      <c r="J50" s="177"/>
      <c r="K50" s="177"/>
      <c r="L50" s="177"/>
      <c r="M50" s="177"/>
      <c r="N50" s="177"/>
      <c r="O50" s="177"/>
      <c r="P50" s="177"/>
      <c r="Q50" s="177"/>
      <c r="R50" s="177"/>
      <c r="S50" s="177"/>
      <c r="T50" s="177"/>
      <c r="U50" s="805" t="e">
        <f>U48-U49</f>
        <v>#REF!</v>
      </c>
      <c r="V50" s="805"/>
      <c r="W50" s="34"/>
      <c r="X50" s="34"/>
      <c r="Y50" s="34"/>
      <c r="Z50" s="34"/>
      <c r="AA50" s="34"/>
      <c r="AB50" s="34"/>
      <c r="AC50" s="34"/>
    </row>
    <row r="51" spans="1:29">
      <c r="A51" s="613"/>
      <c r="B51" s="34"/>
      <c r="C51" s="34"/>
      <c r="D51" s="34"/>
      <c r="E51" s="613" t="s">
        <v>631</v>
      </c>
      <c r="F51" s="34"/>
      <c r="G51" s="34"/>
      <c r="H51" s="34"/>
      <c r="I51" s="893" t="e">
        <f t="shared" ref="I51:R51" si="8">I48-I49</f>
        <v>#REF!</v>
      </c>
      <c r="J51" s="893" t="e">
        <f t="shared" si="8"/>
        <v>#REF!</v>
      </c>
      <c r="K51" s="893" t="e">
        <f t="shared" si="8"/>
        <v>#REF!</v>
      </c>
      <c r="L51" s="893" t="e">
        <f t="shared" si="8"/>
        <v>#REF!</v>
      </c>
      <c r="M51" s="893" t="e">
        <f t="shared" si="8"/>
        <v>#REF!</v>
      </c>
      <c r="N51" s="893" t="e">
        <f t="shared" si="8"/>
        <v>#REF!</v>
      </c>
      <c r="O51" s="893" t="e">
        <f t="shared" si="8"/>
        <v>#REF!</v>
      </c>
      <c r="P51" s="893" t="e">
        <f t="shared" si="8"/>
        <v>#REF!</v>
      </c>
      <c r="Q51" s="893" t="e">
        <f t="shared" si="8"/>
        <v>#REF!</v>
      </c>
      <c r="R51" s="893" t="e">
        <f t="shared" si="8"/>
        <v>#REF!</v>
      </c>
      <c r="S51" s="893"/>
      <c r="T51" s="893"/>
      <c r="U51" s="881" t="e">
        <f>AVERAGE(I51:R51)</f>
        <v>#REF!</v>
      </c>
      <c r="V51" s="805" t="e">
        <f>SUM(I51:R51)</f>
        <v>#REF!</v>
      </c>
      <c r="W51" s="34"/>
      <c r="X51" s="34"/>
      <c r="Y51" s="34"/>
      <c r="Z51" s="34"/>
      <c r="AA51" s="34"/>
      <c r="AB51" s="34"/>
      <c r="AC51" s="34"/>
    </row>
    <row r="52" spans="1:29">
      <c r="A52" s="721"/>
      <c r="B52" s="43"/>
      <c r="C52" s="43"/>
      <c r="D52" s="43"/>
      <c r="E52" s="43"/>
      <c r="F52" s="43"/>
      <c r="G52" s="43"/>
      <c r="H52" s="43"/>
      <c r="I52" s="43"/>
      <c r="J52" s="43"/>
      <c r="K52" s="43"/>
      <c r="L52" s="43"/>
      <c r="M52" s="43"/>
      <c r="N52" s="43"/>
      <c r="O52" s="43"/>
      <c r="P52" s="43"/>
      <c r="Q52" s="43"/>
      <c r="R52" s="43"/>
      <c r="S52" s="43"/>
      <c r="T52" s="43"/>
      <c r="U52" s="43"/>
      <c r="V52" s="43"/>
      <c r="W52" s="34"/>
      <c r="X52" s="34"/>
      <c r="Y52" s="34"/>
      <c r="Z52" s="34"/>
      <c r="AA52" s="34"/>
      <c r="AB52" s="34"/>
      <c r="AC52" s="34"/>
    </row>
    <row r="53" spans="1:29">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sheetData>
  <customSheetViews>
    <customSheetView guid="{5826E3E6-173D-429F-ABE1-D868EE9E034B}" fitToPage="1" topLeftCell="K31">
      <selection activeCell="R22" sqref="R22"/>
      <pageMargins left="0" right="0" top="0" bottom="0" header="0" footer="0"/>
      <pageSetup scale="74" orientation="landscape" horizontalDpi="0" verticalDpi="0" r:id="rId1"/>
    </customSheetView>
  </customSheetViews>
  <mergeCells count="3">
    <mergeCell ref="I1:K1"/>
    <mergeCell ref="F1:G1"/>
    <mergeCell ref="A1:D1"/>
  </mergeCells>
  <pageMargins left="0.70866141732283472" right="0.70866141732283472" top="0.74803149606299213" bottom="0.74803149606299213" header="0.31496062992125984" footer="0.31496062992125984"/>
  <pageSetup scale="51" orientation="landscape" horizontalDpi="0" verticalDpi="0" r:id="rId2"/>
  <headerFooter>
    <oddHeader>&amp;L&amp;8&amp;D&amp;C&amp;8DRAFT&amp;R&amp;8&amp;A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pageSetUpPr fitToPage="1"/>
  </sheetPr>
  <dimension ref="A1:AL120"/>
  <sheetViews>
    <sheetView workbookViewId="0">
      <selection sqref="A1:D1"/>
    </sheetView>
  </sheetViews>
  <sheetFormatPr defaultRowHeight="12.75"/>
  <cols>
    <col min="1" max="1" width="3.28515625" customWidth="1"/>
    <col min="2" max="2" width="23.85546875" customWidth="1"/>
    <col min="3" max="3" width="13.28515625" customWidth="1"/>
    <col min="4" max="4" width="4.5703125" customWidth="1"/>
    <col min="5" max="5" width="6.28515625" customWidth="1"/>
    <col min="6" max="25" width="9.5703125" customWidth="1"/>
  </cols>
  <sheetData>
    <row r="1" spans="1:38" ht="82.5" customHeight="1" thickBot="1">
      <c r="A1" s="1626" t="s">
        <v>193</v>
      </c>
      <c r="B1" s="1627"/>
      <c r="C1" s="1627"/>
      <c r="D1" s="1627"/>
      <c r="E1" s="858" t="e">
        <f>#REF!</f>
        <v>#REF!</v>
      </c>
      <c r="F1" s="1618" t="e">
        <f>#REF!</f>
        <v>#REF!</v>
      </c>
      <c r="G1" s="1618"/>
      <c r="H1" s="1619">
        <f ca="1">NOW()</f>
        <v>44595.448909606479</v>
      </c>
      <c r="I1" s="1619"/>
      <c r="J1" s="1619"/>
      <c r="K1" s="861"/>
      <c r="L1" s="861"/>
      <c r="M1" s="862"/>
      <c r="N1" s="751"/>
      <c r="O1" s="751"/>
      <c r="P1" s="684"/>
      <c r="Q1" s="684"/>
      <c r="R1" s="684"/>
      <c r="S1" s="684"/>
      <c r="T1" s="684"/>
      <c r="U1" s="684"/>
      <c r="V1" s="684"/>
      <c r="W1" s="684"/>
      <c r="X1" s="684"/>
      <c r="Y1" s="751"/>
      <c r="Z1" s="751"/>
      <c r="AA1" s="751" t="e">
        <f>#REF!</f>
        <v>#REF!</v>
      </c>
      <c r="AB1" s="684"/>
    </row>
    <row r="2" spans="1:38" ht="63" customHeight="1">
      <c r="A2" s="896" t="s">
        <v>129</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38">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38" ht="51" customHeight="1">
      <c r="A4" s="34"/>
      <c r="B4" s="897" t="s">
        <v>632</v>
      </c>
      <c r="C4" s="897"/>
      <c r="D4" s="46"/>
      <c r="E4" s="46" t="s">
        <v>633</v>
      </c>
      <c r="F4" s="729"/>
      <c r="G4" s="729">
        <v>11974</v>
      </c>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34"/>
      <c r="AI4" s="34"/>
      <c r="AJ4" s="34"/>
      <c r="AK4" s="34"/>
      <c r="AL4" s="34"/>
    </row>
    <row r="5" spans="1:38" ht="51" customHeight="1">
      <c r="A5" s="34"/>
      <c r="B5" s="897" t="s">
        <v>634</v>
      </c>
      <c r="C5" s="897"/>
      <c r="D5" s="34"/>
      <c r="E5" s="34"/>
      <c r="F5" s="34"/>
      <c r="G5" s="249">
        <v>0.9</v>
      </c>
      <c r="H5" s="34"/>
      <c r="I5" s="34"/>
      <c r="J5" s="34"/>
      <c r="K5" s="34"/>
      <c r="L5" s="34"/>
      <c r="M5" s="34"/>
      <c r="N5" s="34"/>
      <c r="O5" s="34"/>
      <c r="P5" s="34"/>
      <c r="Q5" s="34"/>
      <c r="R5" s="34"/>
      <c r="S5" s="34"/>
      <c r="T5" s="34"/>
      <c r="U5" s="34"/>
      <c r="V5" s="34"/>
      <c r="W5" s="34"/>
      <c r="X5" s="34"/>
      <c r="Y5" s="34"/>
      <c r="Z5" s="34"/>
      <c r="AA5" s="34"/>
      <c r="AB5" s="1629"/>
      <c r="AC5" s="1629"/>
      <c r="AD5" s="1629"/>
      <c r="AE5" s="1629"/>
      <c r="AF5" s="34"/>
      <c r="AG5" s="34"/>
      <c r="AH5" s="34"/>
      <c r="AI5" s="34"/>
      <c r="AJ5" s="34"/>
      <c r="AK5" s="34"/>
      <c r="AL5" s="34"/>
    </row>
    <row r="6" spans="1:38" ht="51" customHeight="1">
      <c r="A6" s="34"/>
      <c r="B6" s="897" t="s">
        <v>635</v>
      </c>
      <c r="C6" s="897"/>
      <c r="D6" s="34"/>
      <c r="E6" s="34"/>
      <c r="F6" s="34"/>
      <c r="G6" s="804">
        <v>0.34100000000000003</v>
      </c>
      <c r="H6" s="34"/>
      <c r="I6" s="34"/>
      <c r="J6" s="34"/>
      <c r="K6" s="34"/>
      <c r="L6" s="34"/>
      <c r="M6" s="34"/>
      <c r="N6" s="45"/>
      <c r="O6" s="45"/>
      <c r="P6" s="45"/>
      <c r="Q6" s="45"/>
      <c r="R6" s="45"/>
      <c r="S6" s="45"/>
      <c r="T6" s="45"/>
      <c r="U6" s="126"/>
      <c r="V6" s="34"/>
      <c r="W6" s="898"/>
      <c r="X6" s="898"/>
      <c r="Y6" s="898"/>
      <c r="Z6" s="898"/>
      <c r="AA6" s="898"/>
      <c r="AB6" s="898"/>
      <c r="AC6" s="898"/>
      <c r="AD6" s="898"/>
      <c r="AE6" s="898"/>
      <c r="AF6" s="34"/>
      <c r="AG6" s="34"/>
      <c r="AH6" s="34"/>
      <c r="AI6" s="34"/>
      <c r="AJ6" s="34"/>
      <c r="AK6" s="34"/>
      <c r="AL6" s="34"/>
    </row>
    <row r="7" spans="1:38" ht="51" customHeight="1">
      <c r="A7" s="34"/>
      <c r="B7" s="897" t="s">
        <v>636</v>
      </c>
      <c r="C7" s="897"/>
      <c r="D7" s="34"/>
      <c r="E7" s="46" t="s">
        <v>637</v>
      </c>
      <c r="F7" s="34"/>
      <c r="G7" s="899">
        <v>29</v>
      </c>
      <c r="H7" s="34"/>
      <c r="I7" s="34"/>
      <c r="J7" s="34"/>
      <c r="K7" s="34"/>
      <c r="L7" s="34"/>
      <c r="M7" s="34"/>
      <c r="N7" s="45"/>
      <c r="O7" s="45"/>
      <c r="P7" s="45"/>
      <c r="Q7" s="45"/>
      <c r="R7" s="45"/>
      <c r="S7" s="45"/>
      <c r="T7" s="45"/>
      <c r="U7" s="126"/>
      <c r="V7" s="34"/>
      <c r="W7" s="900"/>
      <c r="X7" s="1628"/>
      <c r="Y7" s="1628"/>
      <c r="Z7" s="1628"/>
      <c r="AA7" s="1628"/>
      <c r="AB7" s="1628"/>
      <c r="AC7" s="1628"/>
      <c r="AD7" s="1628"/>
      <c r="AE7" s="1628"/>
      <c r="AF7" s="34"/>
      <c r="AG7" s="34"/>
      <c r="AH7" s="34"/>
      <c r="AI7" s="34"/>
      <c r="AJ7" s="34"/>
      <c r="AK7" s="34"/>
      <c r="AL7" s="34"/>
    </row>
    <row r="8" spans="1:38" ht="51" customHeight="1">
      <c r="A8" s="34"/>
      <c r="B8" s="897" t="s">
        <v>638</v>
      </c>
      <c r="C8" s="897"/>
      <c r="D8" s="34"/>
      <c r="E8" s="34"/>
      <c r="F8" s="34"/>
      <c r="G8" s="46" t="s">
        <v>639</v>
      </c>
      <c r="H8" s="34"/>
      <c r="I8" s="34"/>
      <c r="J8" s="34"/>
      <c r="K8" s="34"/>
      <c r="L8" s="34"/>
      <c r="M8" s="34"/>
      <c r="N8" s="45"/>
      <c r="O8" s="45"/>
      <c r="P8" s="45"/>
      <c r="Q8" s="45"/>
      <c r="R8" s="45"/>
      <c r="S8" s="45"/>
      <c r="T8" s="45"/>
      <c r="U8" s="45"/>
      <c r="V8" s="34"/>
      <c r="W8" s="901"/>
      <c r="X8" s="1630"/>
      <c r="Y8" s="1630"/>
      <c r="Z8" s="1630"/>
      <c r="AA8" s="1630"/>
      <c r="AB8" s="1630"/>
      <c r="AC8" s="1630"/>
      <c r="AD8" s="1630"/>
      <c r="AE8" s="1630"/>
      <c r="AF8" s="34"/>
      <c r="AG8" s="34"/>
      <c r="AH8" s="34"/>
      <c r="AI8" s="34"/>
      <c r="AJ8" s="34"/>
      <c r="AK8" s="34"/>
      <c r="AL8" s="34"/>
    </row>
    <row r="9" spans="1:38" ht="51" customHeight="1">
      <c r="A9" s="34"/>
      <c r="B9" s="897"/>
      <c r="C9" s="897"/>
      <c r="D9" s="34"/>
      <c r="E9" s="34"/>
      <c r="F9" s="34"/>
      <c r="G9" s="34"/>
      <c r="H9" s="34"/>
      <c r="I9" s="34"/>
      <c r="J9" s="34"/>
      <c r="K9" s="34"/>
      <c r="L9" s="34"/>
      <c r="M9" s="34"/>
      <c r="N9" s="45"/>
      <c r="O9" s="45"/>
      <c r="P9" s="45"/>
      <c r="Q9" s="45"/>
      <c r="R9" s="45"/>
      <c r="S9" s="45"/>
      <c r="T9" s="45"/>
      <c r="U9" s="45"/>
      <c r="V9" s="34"/>
      <c r="W9" s="901"/>
      <c r="X9" s="1629"/>
      <c r="Y9" s="1629"/>
      <c r="Z9" s="1629"/>
      <c r="AA9" s="1629"/>
      <c r="AB9" s="1629"/>
      <c r="AC9" s="1629"/>
      <c r="AD9" s="1629"/>
      <c r="AE9" s="1629"/>
      <c r="AF9" s="34"/>
      <c r="AG9" s="34"/>
      <c r="AH9" s="34"/>
      <c r="AI9" s="34"/>
      <c r="AJ9" s="34"/>
      <c r="AK9" s="34"/>
      <c r="AL9" s="34"/>
    </row>
    <row r="10" spans="1:38" ht="51" customHeight="1">
      <c r="A10" s="34"/>
      <c r="B10" s="897"/>
      <c r="C10" s="897"/>
      <c r="D10" s="34"/>
      <c r="E10" s="34"/>
      <c r="F10" s="34"/>
      <c r="G10" s="34"/>
      <c r="H10" s="34"/>
      <c r="I10" s="34"/>
      <c r="J10" s="34"/>
      <c r="K10" s="34"/>
      <c r="L10" s="34"/>
      <c r="M10" s="34"/>
      <c r="N10" s="45"/>
      <c r="O10" s="45"/>
      <c r="P10" s="45"/>
      <c r="Q10" s="45"/>
      <c r="R10" s="45"/>
      <c r="S10" s="45"/>
      <c r="T10" s="45"/>
      <c r="U10" s="45"/>
      <c r="V10" s="34"/>
      <c r="W10" s="902"/>
      <c r="X10" s="1629"/>
      <c r="Y10" s="1629"/>
      <c r="Z10" s="1629"/>
      <c r="AA10" s="1629"/>
      <c r="AB10" s="1629"/>
      <c r="AC10" s="1629"/>
      <c r="AD10" s="1629"/>
      <c r="AE10" s="1629"/>
      <c r="AF10" s="34"/>
      <c r="AG10" s="34"/>
      <c r="AH10" s="34"/>
      <c r="AI10" s="34"/>
      <c r="AJ10" s="34"/>
      <c r="AK10" s="34"/>
      <c r="AL10" s="34"/>
    </row>
    <row r="11" spans="1:38" ht="51" customHeight="1">
      <c r="A11" s="34"/>
      <c r="B11" s="897"/>
      <c r="C11" s="897"/>
      <c r="D11" s="46"/>
      <c r="E11" s="34"/>
      <c r="F11" s="34"/>
      <c r="G11" s="34"/>
      <c r="H11" s="34"/>
      <c r="I11" s="34"/>
      <c r="J11" s="34"/>
      <c r="K11" s="34"/>
      <c r="L11" s="34"/>
      <c r="M11" s="34"/>
      <c r="N11" s="34"/>
      <c r="O11" s="34"/>
      <c r="P11" s="34"/>
      <c r="Q11" s="34"/>
      <c r="R11" s="45"/>
      <c r="S11" s="45"/>
      <c r="T11" s="45"/>
      <c r="U11" s="45"/>
      <c r="V11" s="34"/>
      <c r="W11" s="902"/>
      <c r="X11" s="1629"/>
      <c r="Y11" s="1629"/>
      <c r="Z11" s="1629"/>
      <c r="AA11" s="1629"/>
      <c r="AB11" s="1629"/>
      <c r="AC11" s="1629"/>
      <c r="AD11" s="1629"/>
      <c r="AE11" s="1629"/>
      <c r="AF11" s="34"/>
      <c r="AG11" s="34"/>
      <c r="AH11" s="34"/>
      <c r="AI11" s="34"/>
      <c r="AJ11" s="34"/>
      <c r="AK11" s="34"/>
      <c r="AL11" s="34"/>
    </row>
    <row r="12" spans="1:38" ht="51" customHeight="1">
      <c r="A12" s="34"/>
      <c r="B12" s="897"/>
      <c r="C12" s="897"/>
      <c r="D12" s="46"/>
      <c r="E12" s="34"/>
      <c r="F12" s="34"/>
      <c r="G12" s="34"/>
      <c r="H12" s="34"/>
      <c r="I12" s="34"/>
      <c r="J12" s="34"/>
      <c r="K12" s="34"/>
      <c r="L12" s="34"/>
      <c r="M12" s="34"/>
      <c r="N12" s="34"/>
      <c r="O12" s="34"/>
      <c r="P12" s="34"/>
      <c r="Q12" s="34"/>
      <c r="R12" s="45"/>
      <c r="S12" s="45"/>
      <c r="T12" s="45"/>
      <c r="U12" s="45"/>
      <c r="V12" s="34"/>
      <c r="W12" s="902"/>
      <c r="X12" s="1629"/>
      <c r="Y12" s="1629"/>
      <c r="Z12" s="1629"/>
      <c r="AA12" s="1629"/>
      <c r="AB12" s="1629"/>
      <c r="AC12" s="1629"/>
      <c r="AD12" s="1629"/>
      <c r="AE12" s="1629"/>
      <c r="AF12" s="34"/>
      <c r="AG12" s="34"/>
      <c r="AH12" s="34"/>
      <c r="AI12" s="34"/>
      <c r="AJ12" s="34"/>
      <c r="AK12" s="34"/>
      <c r="AL12" s="34"/>
    </row>
    <row r="13" spans="1:38" ht="51" customHeight="1">
      <c r="A13" s="34"/>
      <c r="B13" s="897"/>
      <c r="C13" s="897"/>
      <c r="D13" s="46"/>
      <c r="E13" s="34"/>
      <c r="F13" s="34"/>
      <c r="G13" s="34"/>
      <c r="H13" s="34"/>
      <c r="I13" s="34"/>
      <c r="J13" s="34"/>
      <c r="K13" s="34"/>
      <c r="L13" s="34"/>
      <c r="M13" s="34"/>
      <c r="N13" s="34"/>
      <c r="O13" s="34"/>
      <c r="P13" s="34"/>
      <c r="Q13" s="34"/>
      <c r="R13" s="45"/>
      <c r="S13" s="45"/>
      <c r="T13" s="45"/>
      <c r="U13" s="45"/>
      <c r="V13" s="34"/>
      <c r="W13" s="902"/>
      <c r="X13" s="1629"/>
      <c r="Y13" s="1629"/>
      <c r="Z13" s="1629"/>
      <c r="AA13" s="1629"/>
      <c r="AB13" s="1629"/>
      <c r="AC13" s="1629"/>
      <c r="AD13" s="1629"/>
      <c r="AE13" s="1629"/>
      <c r="AF13" s="34"/>
      <c r="AG13" s="34"/>
      <c r="AH13" s="34"/>
      <c r="AI13" s="34"/>
      <c r="AJ13" s="34"/>
      <c r="AK13" s="34"/>
      <c r="AL13" s="34"/>
    </row>
    <row r="14" spans="1:38" ht="51" customHeight="1">
      <c r="A14" s="34"/>
      <c r="B14" s="897"/>
      <c r="C14" s="897"/>
      <c r="D14" s="46"/>
      <c r="E14" s="34"/>
      <c r="F14" s="34"/>
      <c r="G14" s="34"/>
      <c r="H14" s="34"/>
      <c r="I14" s="34"/>
      <c r="J14" s="34"/>
      <c r="K14" s="34"/>
      <c r="L14" s="34"/>
      <c r="M14" s="34"/>
      <c r="N14" s="34"/>
      <c r="O14" s="34"/>
      <c r="P14" s="34"/>
      <c r="Q14" s="34"/>
      <c r="R14" s="34"/>
      <c r="S14" s="45"/>
      <c r="T14" s="45"/>
      <c r="U14" s="45"/>
      <c r="V14" s="34"/>
      <c r="W14" s="898"/>
      <c r="X14" s="898"/>
      <c r="Y14" s="898"/>
      <c r="Z14" s="898"/>
      <c r="AA14" s="898"/>
      <c r="AB14" s="898"/>
      <c r="AC14" s="898"/>
      <c r="AD14" s="898"/>
      <c r="AE14" s="898"/>
      <c r="AF14" s="34"/>
      <c r="AG14" s="34"/>
      <c r="AH14" s="34"/>
      <c r="AI14" s="34"/>
      <c r="AJ14" s="34"/>
      <c r="AK14" s="34"/>
      <c r="AL14" s="34"/>
    </row>
    <row r="15" spans="1:38" ht="51" customHeight="1">
      <c r="A15" s="34"/>
      <c r="B15" s="897"/>
      <c r="C15" s="897"/>
      <c r="D15" s="46"/>
      <c r="E15" s="34"/>
      <c r="F15" s="34"/>
      <c r="G15" s="34"/>
      <c r="H15" s="34"/>
      <c r="I15" s="34"/>
      <c r="J15" s="34"/>
      <c r="K15" s="34"/>
      <c r="L15" s="34"/>
      <c r="M15" s="34"/>
      <c r="N15" s="45"/>
      <c r="O15" s="45"/>
      <c r="P15" s="45"/>
      <c r="Q15" s="45"/>
      <c r="R15" s="45"/>
      <c r="S15" s="45"/>
      <c r="T15" s="45"/>
      <c r="U15" s="45"/>
      <c r="V15" s="45"/>
      <c r="W15" s="902"/>
      <c r="X15" s="1629"/>
      <c r="Y15" s="1629"/>
      <c r="Z15" s="1629"/>
      <c r="AA15" s="1629"/>
      <c r="AB15" s="1629"/>
      <c r="AC15" s="1629"/>
      <c r="AD15" s="1629"/>
      <c r="AE15" s="1629"/>
      <c r="AF15" s="34"/>
      <c r="AG15" s="34"/>
      <c r="AH15" s="34"/>
      <c r="AI15" s="34"/>
      <c r="AJ15" s="34"/>
      <c r="AK15" s="34"/>
      <c r="AL15" s="34"/>
    </row>
    <row r="16" spans="1:38" ht="51" customHeight="1">
      <c r="A16" s="34"/>
      <c r="B16" s="897"/>
      <c r="C16" s="897"/>
      <c r="D16" s="46"/>
      <c r="E16" s="34"/>
      <c r="F16" s="34"/>
      <c r="G16" s="34"/>
      <c r="H16" s="34"/>
      <c r="I16" s="34"/>
      <c r="J16" s="34"/>
      <c r="K16" s="34"/>
      <c r="L16" s="34"/>
      <c r="M16" s="34"/>
      <c r="N16" s="34"/>
      <c r="O16" s="34"/>
      <c r="P16" s="34"/>
      <c r="Q16" s="34"/>
      <c r="R16" s="45"/>
      <c r="S16" s="45"/>
      <c r="T16" s="45"/>
      <c r="U16" s="45"/>
      <c r="V16" s="34"/>
      <c r="W16" s="902"/>
      <c r="X16" s="1629"/>
      <c r="Y16" s="1629"/>
      <c r="Z16" s="1629"/>
      <c r="AA16" s="1629"/>
      <c r="AB16" s="1629"/>
      <c r="AC16" s="1629"/>
      <c r="AD16" s="1629"/>
      <c r="AE16" s="1629"/>
      <c r="AF16" s="34"/>
      <c r="AG16" s="34"/>
      <c r="AH16" s="34"/>
      <c r="AI16" s="34"/>
      <c r="AJ16" s="34"/>
      <c r="AK16" s="34"/>
      <c r="AL16" s="34"/>
    </row>
    <row r="17" spans="1:38" ht="51" customHeight="1">
      <c r="A17" s="34"/>
      <c r="B17" s="897"/>
      <c r="C17" s="897"/>
      <c r="D17" s="46"/>
      <c r="E17" s="34"/>
      <c r="F17" s="34"/>
      <c r="G17" s="34"/>
      <c r="H17" s="34"/>
      <c r="I17" s="34"/>
      <c r="J17" s="34"/>
      <c r="K17" s="34"/>
      <c r="L17" s="34"/>
      <c r="M17" s="34"/>
      <c r="N17" s="45"/>
      <c r="O17" s="45"/>
      <c r="P17" s="45"/>
      <c r="Q17" s="45"/>
      <c r="R17" s="45"/>
      <c r="S17" s="45"/>
      <c r="T17" s="45"/>
      <c r="U17" s="45"/>
      <c r="V17" s="34"/>
      <c r="W17" s="902"/>
      <c r="X17" s="1629"/>
      <c r="Y17" s="1629"/>
      <c r="Z17" s="1629"/>
      <c r="AA17" s="1629"/>
      <c r="AB17" s="1629"/>
      <c r="AC17" s="1629"/>
      <c r="AD17" s="1629"/>
      <c r="AE17" s="1629"/>
      <c r="AF17" s="34"/>
      <c r="AG17" s="34"/>
      <c r="AH17" s="34"/>
      <c r="AI17" s="34"/>
      <c r="AJ17" s="34"/>
      <c r="AK17" s="34"/>
      <c r="AL17" s="34"/>
    </row>
    <row r="18" spans="1:38" ht="51" customHeight="1">
      <c r="A18" s="34"/>
      <c r="B18" s="897"/>
      <c r="C18" s="897"/>
      <c r="D18" s="34"/>
      <c r="E18" s="34"/>
      <c r="F18" s="34"/>
      <c r="G18" s="34"/>
      <c r="H18" s="34"/>
      <c r="I18" s="34"/>
      <c r="J18" s="34"/>
      <c r="K18" s="34"/>
      <c r="L18" s="34"/>
      <c r="M18" s="34"/>
      <c r="N18" s="45"/>
      <c r="O18" s="45"/>
      <c r="P18" s="45"/>
      <c r="Q18" s="45"/>
      <c r="R18" s="45"/>
      <c r="S18" s="45"/>
      <c r="T18" s="45"/>
      <c r="U18" s="791"/>
      <c r="V18" s="34"/>
      <c r="W18" s="902"/>
      <c r="X18" s="1629"/>
      <c r="Y18" s="1629"/>
      <c r="Z18" s="1629"/>
      <c r="AA18" s="1629"/>
      <c r="AB18" s="1629"/>
      <c r="AC18" s="1629"/>
      <c r="AD18" s="1629"/>
      <c r="AE18" s="1629"/>
      <c r="AF18" s="34"/>
      <c r="AG18" s="34"/>
      <c r="AH18" s="34"/>
      <c r="AI18" s="34"/>
      <c r="AJ18" s="34"/>
      <c r="AK18" s="34"/>
      <c r="AL18" s="34"/>
    </row>
    <row r="19" spans="1:38" ht="51" customHeight="1">
      <c r="A19" s="34"/>
      <c r="B19" s="897"/>
      <c r="C19" s="897"/>
      <c r="D19" s="34"/>
      <c r="E19" s="34"/>
      <c r="F19" s="34"/>
      <c r="G19" s="34"/>
      <c r="H19" s="34"/>
      <c r="I19" s="34"/>
      <c r="J19" s="34"/>
      <c r="K19" s="34"/>
      <c r="L19" s="34"/>
      <c r="M19" s="34"/>
      <c r="N19" s="45"/>
      <c r="O19" s="45"/>
      <c r="P19" s="45"/>
      <c r="Q19" s="45"/>
      <c r="R19" s="45"/>
      <c r="S19" s="45"/>
      <c r="T19" s="45"/>
      <c r="U19" s="791"/>
      <c r="V19" s="34"/>
      <c r="W19" s="898"/>
      <c r="X19" s="898"/>
      <c r="Y19" s="898"/>
      <c r="Z19" s="898"/>
      <c r="AA19" s="898"/>
      <c r="AB19" s="898"/>
      <c r="AC19" s="898"/>
      <c r="AD19" s="898"/>
      <c r="AE19" s="898"/>
      <c r="AF19" s="34"/>
      <c r="AG19" s="34"/>
      <c r="AH19" s="34"/>
      <c r="AI19" s="34"/>
      <c r="AJ19" s="34"/>
      <c r="AK19" s="34"/>
      <c r="AL19" s="34"/>
    </row>
    <row r="20" spans="1:38" ht="51" customHeight="1">
      <c r="A20" s="34"/>
      <c r="B20" s="897"/>
      <c r="C20" s="897"/>
      <c r="D20" s="34"/>
      <c r="E20" s="34"/>
      <c r="F20" s="34"/>
      <c r="G20" s="34"/>
      <c r="H20" s="34"/>
      <c r="I20" s="34"/>
      <c r="J20" s="34"/>
      <c r="K20" s="34"/>
      <c r="L20" s="34"/>
      <c r="M20" s="34"/>
      <c r="N20" s="45"/>
      <c r="O20" s="45"/>
      <c r="P20" s="45"/>
      <c r="Q20" s="45"/>
      <c r="R20" s="45"/>
      <c r="S20" s="45"/>
      <c r="T20" s="45"/>
      <c r="U20" s="791"/>
      <c r="V20" s="34"/>
      <c r="W20" s="900"/>
      <c r="X20" s="1628"/>
      <c r="Y20" s="1628"/>
      <c r="Z20" s="1628"/>
      <c r="AA20" s="1628"/>
      <c r="AB20" s="1628"/>
      <c r="AC20" s="1628"/>
      <c r="AD20" s="1628"/>
      <c r="AE20" s="1628"/>
      <c r="AF20" s="34"/>
      <c r="AG20" s="34"/>
      <c r="AH20" s="34"/>
      <c r="AI20" s="34"/>
      <c r="AJ20" s="34"/>
      <c r="AK20" s="34"/>
      <c r="AL20" s="34"/>
    </row>
    <row r="21" spans="1:38" ht="51" customHeight="1">
      <c r="A21" s="34"/>
      <c r="B21" s="897"/>
      <c r="C21" s="897"/>
      <c r="D21" s="45"/>
      <c r="E21" s="45"/>
      <c r="F21" s="45"/>
      <c r="G21" s="45"/>
      <c r="H21" s="45"/>
      <c r="I21" s="45"/>
      <c r="J21" s="34"/>
      <c r="K21" s="34"/>
      <c r="L21" s="34"/>
      <c r="M21" s="34"/>
      <c r="N21" s="45"/>
      <c r="O21" s="45"/>
      <c r="P21" s="45"/>
      <c r="Q21" s="45"/>
      <c r="R21" s="45"/>
      <c r="S21" s="45"/>
      <c r="T21" s="45"/>
      <c r="U21" s="45"/>
      <c r="V21" s="34"/>
      <c r="W21" s="34"/>
      <c r="X21" s="34"/>
      <c r="Y21" s="34"/>
      <c r="Z21" s="34"/>
      <c r="AA21" s="34"/>
      <c r="AB21" s="34"/>
      <c r="AC21" s="34"/>
      <c r="AD21" s="34"/>
      <c r="AE21" s="34"/>
      <c r="AF21" s="34"/>
      <c r="AG21" s="34"/>
      <c r="AH21" s="34"/>
      <c r="AI21" s="34"/>
      <c r="AJ21" s="34"/>
      <c r="AK21" s="34"/>
      <c r="AL21" s="34"/>
    </row>
    <row r="22" spans="1:38" ht="51" customHeight="1">
      <c r="A22" s="43"/>
      <c r="B22" s="897"/>
      <c r="C22" s="897"/>
      <c r="D22" s="576"/>
      <c r="E22" s="576"/>
      <c r="F22" s="576"/>
      <c r="G22" s="576"/>
      <c r="H22" s="576"/>
      <c r="I22" s="576"/>
      <c r="J22" s="43"/>
      <c r="K22" s="43"/>
      <c r="L22" s="43"/>
      <c r="M22" s="43"/>
      <c r="N22" s="576"/>
      <c r="O22" s="576"/>
      <c r="P22" s="576"/>
      <c r="Q22" s="576"/>
      <c r="R22" s="576"/>
      <c r="S22" s="576"/>
      <c r="T22" s="576"/>
      <c r="U22" s="576"/>
      <c r="V22" s="34"/>
      <c r="W22" s="34"/>
      <c r="X22" s="34"/>
      <c r="Y22" s="34"/>
      <c r="Z22" s="34"/>
      <c r="AA22" s="34"/>
      <c r="AB22" s="34"/>
      <c r="AC22" s="34"/>
      <c r="AD22" s="34"/>
      <c r="AE22" s="34"/>
      <c r="AF22" s="34"/>
      <c r="AG22" s="34"/>
      <c r="AH22" s="34"/>
      <c r="AI22" s="34"/>
      <c r="AJ22" s="34"/>
      <c r="AK22" s="34"/>
      <c r="AL22" s="34"/>
    </row>
    <row r="23" spans="1:38" ht="51" customHeight="1">
      <c r="A23" s="34"/>
      <c r="B23" s="897"/>
      <c r="C23" s="897"/>
      <c r="D23" s="45"/>
      <c r="E23" s="45"/>
      <c r="F23" s="45"/>
      <c r="G23" s="45"/>
      <c r="H23" s="45"/>
      <c r="I23" s="45"/>
      <c r="J23" s="34"/>
      <c r="K23" s="34"/>
      <c r="L23" s="34"/>
      <c r="M23" s="34"/>
      <c r="N23" s="45"/>
      <c r="O23" s="45"/>
      <c r="P23" s="45"/>
      <c r="Q23" s="45"/>
      <c r="R23" s="45"/>
      <c r="S23" s="45"/>
      <c r="T23" s="45"/>
      <c r="U23" s="45"/>
      <c r="V23" s="34"/>
      <c r="W23" s="34"/>
      <c r="X23" s="34"/>
      <c r="Y23" s="34"/>
      <c r="Z23" s="34"/>
      <c r="AA23" s="34"/>
      <c r="AB23" s="34"/>
      <c r="AC23" s="34"/>
      <c r="AD23" s="34"/>
      <c r="AE23" s="34"/>
      <c r="AF23" s="34"/>
      <c r="AG23" s="34"/>
      <c r="AH23" s="34"/>
      <c r="AI23" s="34"/>
      <c r="AJ23" s="34"/>
      <c r="AK23" s="34"/>
      <c r="AL23" s="34"/>
    </row>
    <row r="24" spans="1:38" ht="51" customHeight="1">
      <c r="A24" s="34"/>
      <c r="B24" s="897"/>
      <c r="C24" s="897"/>
      <c r="D24" s="45"/>
      <c r="E24" s="45"/>
      <c r="F24" s="45"/>
      <c r="G24" s="45"/>
      <c r="H24" s="45"/>
      <c r="I24" s="45"/>
      <c r="J24" s="34"/>
      <c r="K24" s="34"/>
      <c r="L24" s="34"/>
      <c r="M24" s="34"/>
      <c r="N24" s="45"/>
      <c r="O24" s="45"/>
      <c r="P24" s="45"/>
      <c r="Q24" s="45"/>
      <c r="R24" s="45"/>
      <c r="S24" s="45"/>
      <c r="T24" s="45"/>
      <c r="U24" s="45"/>
      <c r="V24" s="34"/>
      <c r="W24" s="34"/>
      <c r="X24" s="34"/>
      <c r="Y24" s="34"/>
      <c r="Z24" s="34"/>
      <c r="AA24" s="34"/>
      <c r="AB24" s="34"/>
      <c r="AC24" s="34"/>
      <c r="AD24" s="34"/>
      <c r="AE24" s="34"/>
      <c r="AF24" s="34"/>
      <c r="AG24" s="34"/>
      <c r="AH24" s="34"/>
      <c r="AI24" s="34"/>
      <c r="AJ24" s="34"/>
      <c r="AK24" s="34"/>
      <c r="AL24" s="34"/>
    </row>
    <row r="25" spans="1:38" ht="51" customHeight="1">
      <c r="A25" s="43"/>
      <c r="B25" s="897"/>
      <c r="C25" s="897"/>
      <c r="D25" s="576"/>
      <c r="E25" s="576"/>
      <c r="F25" s="576"/>
      <c r="G25" s="576"/>
      <c r="H25" s="576"/>
      <c r="I25" s="576"/>
      <c r="J25" s="43"/>
      <c r="K25" s="43"/>
      <c r="L25" s="43"/>
      <c r="M25" s="43"/>
      <c r="N25" s="576"/>
      <c r="O25" s="576"/>
      <c r="P25" s="576"/>
      <c r="Q25" s="576"/>
      <c r="R25" s="576"/>
      <c r="S25" s="576"/>
      <c r="T25" s="576"/>
      <c r="U25" s="576"/>
      <c r="V25" s="43"/>
      <c r="W25" s="34"/>
      <c r="X25" s="34"/>
      <c r="Y25" s="34"/>
      <c r="Z25" s="34"/>
      <c r="AA25" s="34"/>
      <c r="AB25" s="34"/>
      <c r="AC25" s="34"/>
      <c r="AD25" s="34"/>
      <c r="AE25" s="34"/>
      <c r="AF25" s="34"/>
      <c r="AG25" s="34"/>
      <c r="AH25" s="34"/>
      <c r="AI25" s="34"/>
      <c r="AJ25" s="34"/>
      <c r="AK25" s="34"/>
      <c r="AL25" s="34"/>
    </row>
    <row r="26" spans="1:38" ht="51" customHeight="1">
      <c r="A26" s="34"/>
      <c r="B26" s="897"/>
      <c r="C26" s="897"/>
      <c r="D26" s="45"/>
      <c r="E26" s="45"/>
      <c r="F26" s="45"/>
      <c r="G26" s="45"/>
      <c r="H26" s="45"/>
      <c r="I26" s="45"/>
      <c r="J26" s="34"/>
      <c r="K26" s="34"/>
      <c r="L26" s="34"/>
      <c r="M26" s="34"/>
      <c r="N26" s="45"/>
      <c r="O26" s="45"/>
      <c r="P26" s="45"/>
      <c r="Q26" s="45"/>
      <c r="R26" s="45"/>
      <c r="S26" s="45"/>
      <c r="T26" s="45"/>
      <c r="U26" s="45"/>
      <c r="V26" s="34"/>
      <c r="W26" s="34"/>
      <c r="X26" s="34"/>
      <c r="Y26" s="34"/>
      <c r="Z26" s="34"/>
      <c r="AA26" s="34"/>
      <c r="AB26" s="34"/>
      <c r="AC26" s="34"/>
      <c r="AD26" s="34"/>
      <c r="AE26" s="34"/>
      <c r="AF26" s="34"/>
      <c r="AG26" s="34"/>
      <c r="AH26" s="34"/>
      <c r="AI26" s="34"/>
      <c r="AJ26" s="34"/>
      <c r="AK26" s="34"/>
      <c r="AL26" s="34"/>
    </row>
    <row r="27" spans="1:38" ht="51" customHeight="1">
      <c r="A27" s="34"/>
      <c r="B27" s="897"/>
      <c r="C27" s="897"/>
      <c r="D27" s="45"/>
      <c r="E27" s="45"/>
      <c r="F27" s="45"/>
      <c r="G27" s="45"/>
      <c r="H27" s="45"/>
      <c r="I27" s="45"/>
      <c r="J27" s="34"/>
      <c r="K27" s="34"/>
      <c r="L27" s="34"/>
      <c r="M27" s="34"/>
      <c r="N27" s="45"/>
      <c r="O27" s="45"/>
      <c r="P27" s="45"/>
      <c r="Q27" s="45"/>
      <c r="R27" s="45"/>
      <c r="S27" s="45"/>
      <c r="T27" s="45"/>
      <c r="U27" s="45"/>
      <c r="V27" s="34"/>
      <c r="W27" s="34"/>
      <c r="X27" s="34"/>
      <c r="Y27" s="34"/>
      <c r="Z27" s="34"/>
      <c r="AA27" s="34"/>
      <c r="AB27" s="34"/>
      <c r="AC27" s="34"/>
      <c r="AD27" s="34"/>
      <c r="AE27" s="34"/>
      <c r="AF27" s="34"/>
      <c r="AG27" s="34"/>
      <c r="AH27" s="34"/>
      <c r="AI27" s="34"/>
      <c r="AJ27" s="34"/>
      <c r="AK27" s="34"/>
      <c r="AL27" s="34"/>
    </row>
    <row r="28" spans="1:38" ht="51" customHeight="1">
      <c r="A28" s="34"/>
      <c r="B28" s="897"/>
      <c r="C28" s="897"/>
      <c r="D28" s="45"/>
      <c r="E28" s="45"/>
      <c r="F28" s="45"/>
      <c r="G28" s="45"/>
      <c r="H28" s="45"/>
      <c r="I28" s="45"/>
      <c r="J28" s="34"/>
      <c r="K28" s="34"/>
      <c r="L28" s="34"/>
      <c r="M28" s="34"/>
      <c r="N28" s="45"/>
      <c r="O28" s="45"/>
      <c r="P28" s="45"/>
      <c r="Q28" s="45"/>
      <c r="R28" s="45"/>
      <c r="S28" s="45"/>
      <c r="T28" s="45"/>
      <c r="U28" s="45"/>
      <c r="V28" s="34"/>
      <c r="W28" s="34"/>
      <c r="X28" s="34"/>
      <c r="Y28" s="34"/>
      <c r="Z28" s="34"/>
      <c r="AA28" s="34"/>
      <c r="AB28" s="34"/>
      <c r="AC28" s="34"/>
      <c r="AD28" s="34"/>
      <c r="AE28" s="34"/>
      <c r="AF28" s="34"/>
      <c r="AG28" s="34"/>
      <c r="AH28" s="34"/>
      <c r="AI28" s="34"/>
      <c r="AJ28" s="34"/>
      <c r="AK28" s="34"/>
      <c r="AL28" s="34"/>
    </row>
    <row r="29" spans="1:38" ht="51" customHeight="1">
      <c r="A29" s="34"/>
      <c r="B29" s="897"/>
      <c r="C29" s="897"/>
      <c r="D29" s="45"/>
      <c r="E29" s="45"/>
      <c r="F29" s="45"/>
      <c r="G29" s="45"/>
      <c r="H29" s="45"/>
      <c r="I29" s="45"/>
      <c r="J29" s="34"/>
      <c r="K29" s="34"/>
      <c r="L29" s="34"/>
      <c r="M29" s="34"/>
      <c r="N29" s="45"/>
      <c r="O29" s="45"/>
      <c r="P29" s="45"/>
      <c r="Q29" s="45"/>
      <c r="R29" s="45"/>
      <c r="S29" s="45"/>
      <c r="T29" s="45"/>
      <c r="U29" s="45"/>
      <c r="V29" s="34"/>
      <c r="W29" s="34"/>
      <c r="X29" s="34"/>
      <c r="Y29" s="34"/>
      <c r="Z29" s="34"/>
      <c r="AA29" s="34"/>
      <c r="AB29" s="34"/>
      <c r="AC29" s="34"/>
      <c r="AD29" s="34"/>
      <c r="AE29" s="34"/>
      <c r="AF29" s="34"/>
      <c r="AG29" s="34"/>
      <c r="AH29" s="34"/>
      <c r="AI29" s="34"/>
      <c r="AJ29" s="34"/>
      <c r="AK29" s="34"/>
      <c r="AL29" s="34"/>
    </row>
    <row r="30" spans="1:38" ht="51" customHeight="1">
      <c r="A30" s="34"/>
      <c r="B30" s="897"/>
      <c r="C30" s="897"/>
      <c r="D30" s="45"/>
      <c r="E30" s="45"/>
      <c r="F30" s="45"/>
      <c r="G30" s="45"/>
      <c r="H30" s="45"/>
      <c r="I30" s="45"/>
      <c r="J30" s="34"/>
      <c r="K30" s="34"/>
      <c r="L30" s="34"/>
      <c r="M30" s="34"/>
      <c r="N30" s="45"/>
      <c r="O30" s="45"/>
      <c r="P30" s="45"/>
      <c r="Q30" s="45"/>
      <c r="R30" s="45"/>
      <c r="S30" s="45"/>
      <c r="T30" s="45"/>
      <c r="U30" s="45"/>
      <c r="V30" s="34"/>
      <c r="W30" s="34"/>
      <c r="X30" s="34"/>
      <c r="Y30" s="34"/>
      <c r="Z30" s="34"/>
      <c r="AA30" s="34"/>
      <c r="AB30" s="34"/>
      <c r="AC30" s="34"/>
      <c r="AD30" s="34"/>
      <c r="AE30" s="34"/>
      <c r="AF30" s="34"/>
      <c r="AG30" s="34"/>
      <c r="AH30" s="34"/>
      <c r="AI30" s="34"/>
      <c r="AJ30" s="34"/>
      <c r="AK30" s="34"/>
      <c r="AL30" s="34"/>
    </row>
    <row r="31" spans="1:38" ht="51" customHeight="1">
      <c r="A31" s="34"/>
      <c r="B31" s="897"/>
      <c r="C31" s="897"/>
      <c r="D31" s="45"/>
      <c r="E31" s="45"/>
      <c r="F31" s="45"/>
      <c r="G31" s="45"/>
      <c r="H31" s="45"/>
      <c r="I31" s="45"/>
      <c r="J31" s="34"/>
      <c r="K31" s="34"/>
      <c r="L31" s="34"/>
      <c r="M31" s="34"/>
      <c r="N31" s="45"/>
      <c r="O31" s="45"/>
      <c r="P31" s="45"/>
      <c r="Q31" s="45"/>
      <c r="R31" s="45"/>
      <c r="S31" s="45"/>
      <c r="T31" s="45"/>
      <c r="U31" s="45"/>
      <c r="V31" s="34"/>
      <c r="W31" s="34"/>
      <c r="X31" s="34"/>
      <c r="Y31" s="34"/>
      <c r="Z31" s="34"/>
      <c r="AA31" s="34"/>
      <c r="AB31" s="34"/>
      <c r="AC31" s="34"/>
      <c r="AD31" s="34"/>
      <c r="AE31" s="34"/>
      <c r="AF31" s="34"/>
      <c r="AG31" s="34"/>
      <c r="AH31" s="34"/>
      <c r="AI31" s="34"/>
      <c r="AJ31" s="34"/>
      <c r="AK31" s="34"/>
      <c r="AL31" s="34"/>
    </row>
    <row r="32" spans="1:38" ht="51" customHeight="1">
      <c r="A32" s="34"/>
      <c r="B32" s="897"/>
      <c r="C32" s="897"/>
      <c r="D32" s="45"/>
      <c r="E32" s="45"/>
      <c r="F32" s="45"/>
      <c r="G32" s="45"/>
      <c r="H32" s="45"/>
      <c r="I32" s="45"/>
      <c r="J32" s="34"/>
      <c r="K32" s="34"/>
      <c r="L32" s="34"/>
      <c r="M32" s="34"/>
      <c r="N32" s="45"/>
      <c r="O32" s="45"/>
      <c r="P32" s="45"/>
      <c r="Q32" s="45"/>
      <c r="R32" s="45"/>
      <c r="S32" s="45"/>
      <c r="T32" s="45"/>
      <c r="U32" s="45"/>
      <c r="V32" s="34"/>
      <c r="W32" s="34"/>
      <c r="X32" s="34"/>
      <c r="Y32" s="34"/>
      <c r="Z32" s="34"/>
      <c r="AA32" s="34"/>
      <c r="AB32" s="34"/>
      <c r="AC32" s="34"/>
      <c r="AD32" s="34"/>
      <c r="AE32" s="34"/>
      <c r="AF32" s="34"/>
      <c r="AG32" s="34"/>
      <c r="AH32" s="34"/>
      <c r="AI32" s="34"/>
      <c r="AJ32" s="34"/>
      <c r="AK32" s="34"/>
      <c r="AL32" s="34"/>
    </row>
    <row r="33" spans="1:38" ht="51" customHeight="1">
      <c r="A33" s="34"/>
      <c r="B33" s="897"/>
      <c r="C33" s="897"/>
      <c r="D33" s="45"/>
      <c r="E33" s="45"/>
      <c r="F33" s="45"/>
      <c r="G33" s="45"/>
      <c r="H33" s="45"/>
      <c r="I33" s="45"/>
      <c r="J33" s="34"/>
      <c r="K33" s="34"/>
      <c r="L33" s="34"/>
      <c r="M33" s="34"/>
      <c r="N33" s="45"/>
      <c r="O33" s="45"/>
      <c r="P33" s="45"/>
      <c r="Q33" s="45"/>
      <c r="R33" s="45"/>
      <c r="S33" s="45"/>
      <c r="T33" s="45"/>
      <c r="U33" s="45"/>
      <c r="V33" s="34"/>
      <c r="W33" s="34"/>
      <c r="X33" s="34"/>
      <c r="Y33" s="34"/>
      <c r="Z33" s="34"/>
      <c r="AA33" s="34"/>
      <c r="AB33" s="34"/>
      <c r="AC33" s="34"/>
      <c r="AD33" s="34"/>
      <c r="AE33" s="34"/>
      <c r="AF33" s="34"/>
      <c r="AG33" s="34"/>
      <c r="AH33" s="34"/>
      <c r="AI33" s="34"/>
      <c r="AJ33" s="34"/>
      <c r="AK33" s="34"/>
      <c r="AL33" s="34"/>
    </row>
    <row r="34" spans="1:38" ht="51" customHeight="1">
      <c r="A34" s="34"/>
      <c r="B34" s="897"/>
      <c r="C34" s="897"/>
      <c r="D34" s="45"/>
      <c r="E34" s="45"/>
      <c r="F34" s="45"/>
      <c r="G34" s="45"/>
      <c r="H34" s="45"/>
      <c r="I34" s="45"/>
      <c r="J34" s="34"/>
      <c r="K34" s="34"/>
      <c r="L34" s="34"/>
      <c r="M34" s="34"/>
      <c r="N34" s="45"/>
      <c r="O34" s="45"/>
      <c r="P34" s="45"/>
      <c r="Q34" s="45"/>
      <c r="R34" s="45"/>
      <c r="S34" s="45"/>
      <c r="T34" s="45"/>
      <c r="U34" s="45"/>
      <c r="V34" s="34"/>
      <c r="W34" s="34"/>
      <c r="X34" s="34"/>
      <c r="Y34" s="34"/>
      <c r="Z34" s="34"/>
      <c r="AA34" s="34"/>
      <c r="AB34" s="34"/>
      <c r="AC34" s="34"/>
      <c r="AD34" s="34"/>
      <c r="AE34" s="34"/>
      <c r="AF34" s="34"/>
      <c r="AG34" s="34"/>
      <c r="AH34" s="34"/>
      <c r="AI34" s="34"/>
      <c r="AJ34" s="34"/>
      <c r="AK34" s="34"/>
      <c r="AL34" s="34"/>
    </row>
    <row r="35" spans="1:38" ht="51" customHeight="1">
      <c r="A35" s="34"/>
      <c r="B35" s="897"/>
      <c r="C35" s="897"/>
      <c r="D35" s="45"/>
      <c r="E35" s="45"/>
      <c r="F35" s="45"/>
      <c r="G35" s="45"/>
      <c r="H35" s="45"/>
      <c r="I35" s="45"/>
      <c r="J35" s="34"/>
      <c r="K35" s="34"/>
      <c r="L35" s="34"/>
      <c r="M35" s="34"/>
      <c r="N35" s="45"/>
      <c r="O35" s="45"/>
      <c r="P35" s="45"/>
      <c r="Q35" s="45"/>
      <c r="R35" s="45"/>
      <c r="S35" s="45"/>
      <c r="T35" s="45"/>
      <c r="U35" s="45"/>
      <c r="V35" s="34"/>
      <c r="W35" s="34"/>
      <c r="X35" s="34"/>
      <c r="Y35" s="34"/>
      <c r="Z35" s="34"/>
      <c r="AA35" s="34"/>
      <c r="AB35" s="34"/>
      <c r="AC35" s="34"/>
      <c r="AD35" s="34"/>
      <c r="AE35" s="34"/>
      <c r="AF35" s="34"/>
      <c r="AG35" s="34"/>
      <c r="AH35" s="34"/>
      <c r="AI35" s="34"/>
      <c r="AJ35" s="34"/>
      <c r="AK35" s="34"/>
      <c r="AL35" s="34"/>
    </row>
    <row r="36" spans="1:38" ht="51" customHeight="1">
      <c r="A36" s="34"/>
      <c r="B36" s="897"/>
      <c r="C36" s="897"/>
      <c r="D36" s="45"/>
      <c r="E36" s="45"/>
      <c r="F36" s="45"/>
      <c r="G36" s="45"/>
      <c r="H36" s="45"/>
      <c r="I36" s="45"/>
      <c r="J36" s="34"/>
      <c r="K36" s="34"/>
      <c r="L36" s="34"/>
      <c r="M36" s="34"/>
      <c r="N36" s="45"/>
      <c r="O36" s="45"/>
      <c r="P36" s="45"/>
      <c r="Q36" s="45"/>
      <c r="R36" s="45"/>
      <c r="S36" s="45"/>
      <c r="T36" s="45"/>
      <c r="U36" s="45"/>
      <c r="V36" s="34"/>
      <c r="W36" s="34"/>
      <c r="X36" s="34"/>
      <c r="Y36" s="34"/>
      <c r="Z36" s="34"/>
      <c r="AA36" s="34"/>
      <c r="AB36" s="34"/>
      <c r="AC36" s="34"/>
      <c r="AD36" s="34"/>
      <c r="AE36" s="34"/>
      <c r="AF36" s="34"/>
      <c r="AG36" s="34"/>
      <c r="AH36" s="34"/>
      <c r="AI36" s="34"/>
      <c r="AJ36" s="34"/>
      <c r="AK36" s="34"/>
      <c r="AL36" s="34"/>
    </row>
    <row r="37" spans="1:38" ht="51" customHeight="1">
      <c r="A37" s="34"/>
      <c r="B37" s="897"/>
      <c r="C37" s="897"/>
      <c r="D37" s="45"/>
      <c r="E37" s="45"/>
      <c r="F37" s="45"/>
      <c r="G37" s="45"/>
      <c r="H37" s="45"/>
      <c r="I37" s="45"/>
      <c r="J37" s="34"/>
      <c r="K37" s="34"/>
      <c r="L37" s="34"/>
      <c r="M37" s="34"/>
      <c r="N37" s="45"/>
      <c r="O37" s="45"/>
      <c r="P37" s="45"/>
      <c r="Q37" s="45"/>
      <c r="R37" s="45"/>
      <c r="S37" s="45"/>
      <c r="T37" s="45"/>
      <c r="U37" s="45"/>
      <c r="V37" s="34"/>
      <c r="W37" s="34"/>
      <c r="X37" s="34"/>
      <c r="Y37" s="34"/>
      <c r="Z37" s="34"/>
      <c r="AA37" s="34"/>
      <c r="AB37" s="34"/>
      <c r="AC37" s="34"/>
      <c r="AD37" s="34"/>
      <c r="AE37" s="34"/>
      <c r="AF37" s="34"/>
      <c r="AG37" s="34"/>
      <c r="AH37" s="34"/>
      <c r="AI37" s="34"/>
      <c r="AJ37" s="34"/>
      <c r="AK37" s="34"/>
      <c r="AL37" s="34"/>
    </row>
    <row r="38" spans="1:38" ht="51" customHeight="1">
      <c r="A38" s="34"/>
      <c r="B38" s="897"/>
      <c r="C38" s="897"/>
      <c r="D38" s="45"/>
      <c r="E38" s="45"/>
      <c r="F38" s="45"/>
      <c r="G38" s="45"/>
      <c r="H38" s="45"/>
      <c r="I38" s="45"/>
      <c r="J38" s="34"/>
      <c r="K38" s="34"/>
      <c r="L38" s="34"/>
      <c r="M38" s="34"/>
      <c r="N38" s="45"/>
      <c r="O38" s="45"/>
      <c r="P38" s="45"/>
      <c r="Q38" s="45"/>
      <c r="R38" s="45"/>
      <c r="S38" s="45"/>
      <c r="T38" s="45"/>
      <c r="U38" s="45"/>
      <c r="V38" s="34"/>
      <c r="W38" s="34"/>
      <c r="X38" s="34"/>
      <c r="Y38" s="34"/>
      <c r="Z38" s="34"/>
      <c r="AA38" s="34"/>
      <c r="AB38" s="34"/>
      <c r="AC38" s="34"/>
      <c r="AD38" s="34"/>
      <c r="AE38" s="34"/>
      <c r="AF38" s="34"/>
      <c r="AG38" s="34"/>
      <c r="AH38" s="34"/>
      <c r="AI38" s="34"/>
      <c r="AJ38" s="34"/>
      <c r="AK38" s="34"/>
      <c r="AL38" s="34"/>
    </row>
    <row r="39" spans="1:38" ht="51" customHeight="1">
      <c r="A39" s="34"/>
      <c r="B39" s="897"/>
      <c r="C39" s="897"/>
      <c r="D39" s="45"/>
      <c r="E39" s="45"/>
      <c r="F39" s="45"/>
      <c r="G39" s="45"/>
      <c r="H39" s="45"/>
      <c r="I39" s="45"/>
      <c r="J39" s="34"/>
      <c r="K39" s="34"/>
      <c r="L39" s="34"/>
      <c r="M39" s="34"/>
      <c r="N39" s="45"/>
      <c r="O39" s="45"/>
      <c r="P39" s="45"/>
      <c r="Q39" s="45"/>
      <c r="R39" s="45"/>
      <c r="S39" s="45"/>
      <c r="T39" s="45"/>
      <c r="U39" s="45"/>
      <c r="V39" s="34"/>
      <c r="W39" s="34"/>
      <c r="X39" s="34"/>
      <c r="Y39" s="34"/>
      <c r="Z39" s="34"/>
      <c r="AA39" s="34"/>
      <c r="AB39" s="34"/>
      <c r="AC39" s="34"/>
      <c r="AD39" s="34"/>
      <c r="AE39" s="34"/>
      <c r="AF39" s="34"/>
      <c r="AG39" s="34"/>
      <c r="AH39" s="34"/>
      <c r="AI39" s="34"/>
      <c r="AJ39" s="34"/>
      <c r="AK39" s="34"/>
      <c r="AL39" s="34"/>
    </row>
    <row r="40" spans="1:38" ht="51" customHeight="1">
      <c r="A40" s="34"/>
      <c r="B40" s="897"/>
      <c r="C40" s="897"/>
      <c r="D40" s="45"/>
      <c r="E40" s="45"/>
      <c r="F40" s="45"/>
      <c r="G40" s="45"/>
      <c r="H40" s="45"/>
      <c r="I40" s="45"/>
      <c r="J40" s="34"/>
      <c r="K40" s="34"/>
      <c r="L40" s="34"/>
      <c r="M40" s="34"/>
      <c r="N40" s="45"/>
      <c r="O40" s="45"/>
      <c r="P40" s="45"/>
      <c r="Q40" s="45"/>
      <c r="R40" s="45"/>
      <c r="S40" s="45"/>
      <c r="T40" s="45"/>
      <c r="U40" s="45"/>
      <c r="V40" s="34"/>
      <c r="W40" s="34"/>
      <c r="X40" s="34"/>
      <c r="Y40" s="34"/>
      <c r="Z40" s="34"/>
      <c r="AA40" s="34"/>
      <c r="AB40" s="34"/>
      <c r="AC40" s="34"/>
      <c r="AD40" s="34"/>
      <c r="AE40" s="34"/>
      <c r="AF40" s="34"/>
      <c r="AG40" s="34"/>
      <c r="AH40" s="34"/>
      <c r="AI40" s="34"/>
      <c r="AJ40" s="34"/>
      <c r="AK40" s="34"/>
      <c r="AL40" s="34"/>
    </row>
    <row r="41" spans="1:38" ht="51" customHeight="1">
      <c r="A41" s="34"/>
      <c r="B41" s="897"/>
      <c r="C41" s="897"/>
      <c r="D41" s="45"/>
      <c r="E41" s="45"/>
      <c r="F41" s="45"/>
      <c r="G41" s="45"/>
      <c r="H41" s="45"/>
      <c r="I41" s="45"/>
      <c r="J41" s="34"/>
      <c r="K41" s="34"/>
      <c r="L41" s="34"/>
      <c r="M41" s="34"/>
      <c r="N41" s="45"/>
      <c r="O41" s="45"/>
      <c r="P41" s="45"/>
      <c r="Q41" s="45"/>
      <c r="R41" s="45"/>
      <c r="S41" s="45"/>
      <c r="T41" s="45"/>
      <c r="U41" s="45"/>
      <c r="V41" s="34"/>
      <c r="W41" s="34"/>
      <c r="X41" s="34"/>
      <c r="Y41" s="34"/>
      <c r="Z41" s="34"/>
      <c r="AA41" s="34"/>
      <c r="AB41" s="34"/>
      <c r="AC41" s="34"/>
      <c r="AD41" s="34"/>
      <c r="AE41" s="34"/>
      <c r="AF41" s="34"/>
      <c r="AG41" s="34"/>
      <c r="AH41" s="34"/>
      <c r="AI41" s="34"/>
      <c r="AJ41" s="34"/>
      <c r="AK41" s="34"/>
      <c r="AL41" s="34"/>
    </row>
    <row r="42" spans="1:38" ht="51" customHeight="1">
      <c r="A42" s="34"/>
      <c r="B42" s="897"/>
      <c r="C42" s="897"/>
      <c r="D42" s="45"/>
      <c r="E42" s="45"/>
      <c r="F42" s="45"/>
      <c r="G42" s="45"/>
      <c r="H42" s="45"/>
      <c r="I42" s="45"/>
      <c r="J42" s="34"/>
      <c r="K42" s="34"/>
      <c r="L42" s="34"/>
      <c r="M42" s="34"/>
      <c r="N42" s="45"/>
      <c r="O42" s="45"/>
      <c r="P42" s="45"/>
      <c r="Q42" s="45"/>
      <c r="R42" s="45"/>
      <c r="S42" s="45"/>
      <c r="T42" s="45"/>
      <c r="U42" s="45"/>
      <c r="V42" s="34"/>
      <c r="W42" s="34"/>
      <c r="X42" s="34"/>
      <c r="Y42" s="34"/>
      <c r="Z42" s="34"/>
      <c r="AA42" s="34"/>
      <c r="AB42" s="34"/>
      <c r="AC42" s="34"/>
      <c r="AD42" s="34"/>
      <c r="AE42" s="34"/>
      <c r="AF42" s="34"/>
      <c r="AG42" s="34"/>
      <c r="AH42" s="34"/>
      <c r="AI42" s="34"/>
      <c r="AJ42" s="34"/>
      <c r="AK42" s="34"/>
      <c r="AL42" s="34"/>
    </row>
    <row r="43" spans="1:38" ht="51" customHeight="1">
      <c r="A43" s="34"/>
      <c r="B43" s="897"/>
      <c r="C43" s="897"/>
      <c r="D43" s="45"/>
      <c r="E43" s="45"/>
      <c r="F43" s="45"/>
      <c r="G43" s="45"/>
      <c r="H43" s="45"/>
      <c r="I43" s="45"/>
      <c r="J43" s="34"/>
      <c r="K43" s="34"/>
      <c r="L43" s="34"/>
      <c r="M43" s="34"/>
      <c r="N43" s="45"/>
      <c r="O43" s="45"/>
      <c r="P43" s="45"/>
      <c r="Q43" s="45"/>
      <c r="R43" s="45"/>
      <c r="S43" s="45"/>
      <c r="T43" s="45"/>
      <c r="U43" s="45"/>
      <c r="V43" s="34"/>
      <c r="W43" s="34"/>
      <c r="X43" s="34"/>
      <c r="Y43" s="34"/>
      <c r="Z43" s="34"/>
      <c r="AA43" s="34"/>
      <c r="AB43" s="34"/>
      <c r="AC43" s="34"/>
      <c r="AD43" s="34"/>
      <c r="AE43" s="34"/>
      <c r="AF43" s="34"/>
      <c r="AG43" s="34"/>
      <c r="AH43" s="34"/>
      <c r="AI43" s="34"/>
      <c r="AJ43" s="34"/>
      <c r="AK43" s="34"/>
      <c r="AL43" s="34"/>
    </row>
    <row r="44" spans="1:38" ht="51" customHeight="1">
      <c r="A44" s="34"/>
      <c r="B44" s="897"/>
      <c r="C44" s="897"/>
      <c r="D44" s="45"/>
      <c r="E44" s="45"/>
      <c r="F44" s="45"/>
      <c r="G44" s="45"/>
      <c r="H44" s="45"/>
      <c r="I44" s="45"/>
      <c r="J44" s="34"/>
      <c r="K44" s="34"/>
      <c r="L44" s="34"/>
      <c r="M44" s="34"/>
      <c r="N44" s="45"/>
      <c r="O44" s="45"/>
      <c r="P44" s="45"/>
      <c r="Q44" s="45"/>
      <c r="R44" s="45"/>
      <c r="S44" s="45"/>
      <c r="T44" s="45"/>
      <c r="U44" s="45"/>
      <c r="V44" s="34"/>
      <c r="W44" s="34"/>
      <c r="X44" s="34"/>
      <c r="Y44" s="34"/>
      <c r="Z44" s="34"/>
      <c r="AA44" s="34"/>
      <c r="AB44" s="34"/>
      <c r="AC44" s="34"/>
      <c r="AD44" s="34"/>
      <c r="AE44" s="34"/>
      <c r="AF44" s="34"/>
      <c r="AG44" s="34"/>
      <c r="AH44" s="34"/>
      <c r="AI44" s="34"/>
      <c r="AJ44" s="34"/>
      <c r="AK44" s="34"/>
      <c r="AL44" s="34"/>
    </row>
    <row r="45" spans="1:38" ht="51" customHeight="1">
      <c r="A45" s="34"/>
      <c r="B45" s="897"/>
      <c r="C45" s="897"/>
      <c r="D45" s="45"/>
      <c r="E45" s="45"/>
      <c r="F45" s="45"/>
      <c r="G45" s="45"/>
      <c r="H45" s="45"/>
      <c r="I45" s="45"/>
      <c r="J45" s="34"/>
      <c r="K45" s="34"/>
      <c r="L45" s="34"/>
      <c r="M45" s="34"/>
      <c r="N45" s="45"/>
      <c r="O45" s="45"/>
      <c r="P45" s="45"/>
      <c r="Q45" s="45"/>
      <c r="R45" s="45"/>
      <c r="S45" s="45"/>
      <c r="T45" s="45"/>
      <c r="U45" s="45"/>
      <c r="V45" s="34"/>
      <c r="W45" s="34"/>
      <c r="X45" s="34"/>
      <c r="Y45" s="34"/>
      <c r="Z45" s="34"/>
      <c r="AA45" s="34"/>
      <c r="AB45" s="34"/>
      <c r="AC45" s="34"/>
      <c r="AD45" s="34"/>
      <c r="AE45" s="34"/>
      <c r="AF45" s="34"/>
      <c r="AG45" s="34"/>
      <c r="AH45" s="34"/>
      <c r="AI45" s="34"/>
      <c r="AJ45" s="34"/>
      <c r="AK45" s="34"/>
      <c r="AL45" s="34"/>
    </row>
    <row r="46" spans="1:38" ht="51" customHeight="1">
      <c r="A46" s="34"/>
      <c r="B46" s="897"/>
      <c r="C46" s="897"/>
      <c r="D46" s="45"/>
      <c r="E46" s="45"/>
      <c r="F46" s="45"/>
      <c r="G46" s="45"/>
      <c r="H46" s="45"/>
      <c r="I46" s="45"/>
      <c r="J46" s="34"/>
      <c r="K46" s="34"/>
      <c r="L46" s="34"/>
      <c r="M46" s="34"/>
      <c r="N46" s="45"/>
      <c r="O46" s="45"/>
      <c r="P46" s="45"/>
      <c r="Q46" s="45"/>
      <c r="R46" s="45"/>
      <c r="S46" s="45"/>
      <c r="T46" s="45"/>
      <c r="U46" s="45"/>
      <c r="V46" s="34"/>
      <c r="W46" s="34"/>
      <c r="X46" s="34"/>
      <c r="Y46" s="34"/>
      <c r="Z46" s="34"/>
      <c r="AA46" s="34"/>
      <c r="AB46" s="34"/>
      <c r="AC46" s="34"/>
      <c r="AD46" s="34"/>
      <c r="AE46" s="34"/>
      <c r="AF46" s="34"/>
      <c r="AG46" s="34"/>
      <c r="AH46" s="34"/>
      <c r="AI46" s="34"/>
      <c r="AJ46" s="34"/>
      <c r="AK46" s="34"/>
      <c r="AL46" s="34"/>
    </row>
    <row r="47" spans="1:38" ht="51" customHeight="1">
      <c r="A47" s="34"/>
      <c r="B47" s="897"/>
      <c r="C47" s="897"/>
      <c r="D47" s="45"/>
      <c r="E47" s="45"/>
      <c r="F47" s="45"/>
      <c r="G47" s="45"/>
      <c r="H47" s="45"/>
      <c r="I47" s="45"/>
      <c r="J47" s="34"/>
      <c r="K47" s="34"/>
      <c r="L47" s="34"/>
      <c r="M47" s="34"/>
      <c r="N47" s="45"/>
      <c r="O47" s="45"/>
      <c r="P47" s="45"/>
      <c r="Q47" s="45"/>
      <c r="R47" s="45"/>
      <c r="S47" s="45"/>
      <c r="T47" s="45"/>
      <c r="U47" s="45"/>
      <c r="V47" s="34"/>
      <c r="W47" s="34"/>
      <c r="X47" s="34"/>
      <c r="Y47" s="34"/>
      <c r="Z47" s="34"/>
      <c r="AA47" s="34"/>
      <c r="AB47" s="34"/>
      <c r="AC47" s="34"/>
      <c r="AD47" s="34"/>
      <c r="AE47" s="34"/>
      <c r="AF47" s="34"/>
      <c r="AG47" s="34"/>
      <c r="AH47" s="34"/>
      <c r="AI47" s="34"/>
      <c r="AJ47" s="34"/>
      <c r="AK47" s="34"/>
      <c r="AL47" s="34"/>
    </row>
    <row r="48" spans="1:38" ht="51" customHeight="1">
      <c r="A48" s="34"/>
      <c r="B48" s="897"/>
      <c r="C48" s="897"/>
      <c r="D48" s="45"/>
      <c r="E48" s="45"/>
      <c r="F48" s="45"/>
      <c r="G48" s="45"/>
      <c r="H48" s="45"/>
      <c r="I48" s="45"/>
      <c r="J48" s="34"/>
      <c r="K48" s="34"/>
      <c r="L48" s="34"/>
      <c r="M48" s="34"/>
      <c r="N48" s="45"/>
      <c r="O48" s="45"/>
      <c r="P48" s="45"/>
      <c r="Q48" s="45"/>
      <c r="R48" s="45"/>
      <c r="S48" s="45"/>
      <c r="T48" s="45"/>
      <c r="U48" s="45"/>
      <c r="V48" s="34"/>
      <c r="W48" s="34"/>
      <c r="X48" s="34"/>
      <c r="Y48" s="34"/>
      <c r="Z48" s="34"/>
      <c r="AA48" s="34"/>
      <c r="AB48" s="34"/>
      <c r="AC48" s="34"/>
      <c r="AD48" s="34"/>
      <c r="AE48" s="34"/>
      <c r="AF48" s="34"/>
      <c r="AG48" s="34"/>
      <c r="AH48" s="34"/>
      <c r="AI48" s="34"/>
      <c r="AJ48" s="34"/>
      <c r="AK48" s="34"/>
      <c r="AL48" s="34"/>
    </row>
    <row r="49" spans="1:38" ht="51" customHeight="1">
      <c r="A49" s="34"/>
      <c r="B49" s="897"/>
      <c r="C49" s="897"/>
      <c r="D49" s="45"/>
      <c r="E49" s="45"/>
      <c r="F49" s="45"/>
      <c r="G49" s="45"/>
      <c r="H49" s="45"/>
      <c r="I49" s="45"/>
      <c r="J49" s="34"/>
      <c r="K49" s="34"/>
      <c r="L49" s="34"/>
      <c r="M49" s="34"/>
      <c r="N49" s="45"/>
      <c r="O49" s="45"/>
      <c r="P49" s="45"/>
      <c r="Q49" s="45"/>
      <c r="R49" s="45"/>
      <c r="S49" s="45"/>
      <c r="T49" s="45"/>
      <c r="U49" s="45"/>
      <c r="V49" s="34"/>
      <c r="W49" s="34"/>
      <c r="X49" s="34"/>
      <c r="Y49" s="34"/>
      <c r="Z49" s="34"/>
      <c r="AA49" s="34"/>
      <c r="AB49" s="34"/>
      <c r="AC49" s="34"/>
      <c r="AD49" s="34"/>
      <c r="AE49" s="34"/>
      <c r="AF49" s="34"/>
      <c r="AG49" s="34"/>
      <c r="AH49" s="34"/>
      <c r="AI49" s="34"/>
      <c r="AJ49" s="34"/>
      <c r="AK49" s="34"/>
      <c r="AL49" s="34"/>
    </row>
    <row r="50" spans="1:38" ht="51" customHeight="1">
      <c r="A50" s="34"/>
      <c r="B50" s="897"/>
      <c r="C50" s="897"/>
      <c r="D50" s="45"/>
      <c r="E50" s="45"/>
      <c r="F50" s="45"/>
      <c r="G50" s="45"/>
      <c r="H50" s="45"/>
      <c r="I50" s="45"/>
      <c r="J50" s="34"/>
      <c r="K50" s="34"/>
      <c r="L50" s="34"/>
      <c r="M50" s="34"/>
      <c r="N50" s="45"/>
      <c r="O50" s="45"/>
      <c r="P50" s="45"/>
      <c r="Q50" s="45"/>
      <c r="R50" s="45"/>
      <c r="S50" s="45"/>
      <c r="T50" s="45"/>
      <c r="U50" s="45"/>
      <c r="V50" s="34"/>
      <c r="W50" s="34"/>
      <c r="X50" s="34"/>
      <c r="Y50" s="34"/>
      <c r="Z50" s="34"/>
      <c r="AA50" s="34"/>
      <c r="AB50" s="34"/>
      <c r="AC50" s="34"/>
      <c r="AD50" s="34"/>
      <c r="AE50" s="34"/>
      <c r="AF50" s="34"/>
      <c r="AG50" s="34"/>
      <c r="AH50" s="34"/>
      <c r="AI50" s="34"/>
      <c r="AJ50" s="34"/>
      <c r="AK50" s="34"/>
      <c r="AL50" s="34"/>
    </row>
    <row r="51" spans="1:38" ht="51" customHeight="1">
      <c r="A51" s="34"/>
      <c r="B51" s="897"/>
      <c r="C51" s="897"/>
      <c r="D51" s="34"/>
      <c r="E51" s="34"/>
      <c r="F51" s="34"/>
      <c r="G51" s="809"/>
      <c r="H51" s="809"/>
      <c r="I51" s="809"/>
      <c r="J51" s="34"/>
      <c r="K51" s="34"/>
      <c r="L51" s="34"/>
      <c r="M51" s="34"/>
      <c r="N51" s="809"/>
      <c r="O51" s="809"/>
      <c r="P51" s="809"/>
      <c r="Q51" s="809"/>
      <c r="R51" s="809"/>
      <c r="S51" s="809"/>
      <c r="T51" s="809"/>
      <c r="U51" s="34"/>
      <c r="V51" s="34"/>
      <c r="W51" s="34"/>
      <c r="X51" s="34"/>
      <c r="Y51" s="34"/>
      <c r="Z51" s="34"/>
      <c r="AA51" s="34"/>
      <c r="AB51" s="34"/>
      <c r="AC51" s="34"/>
      <c r="AD51" s="34"/>
      <c r="AE51" s="34"/>
      <c r="AF51" s="34"/>
      <c r="AG51" s="34"/>
      <c r="AH51" s="34"/>
      <c r="AI51" s="34"/>
      <c r="AJ51" s="34"/>
      <c r="AK51" s="34"/>
      <c r="AL51" s="34"/>
    </row>
    <row r="52" spans="1:38" ht="51" customHeight="1">
      <c r="A52" s="34"/>
      <c r="B52" s="897"/>
      <c r="C52" s="897"/>
      <c r="D52" s="34"/>
      <c r="E52" s="34"/>
      <c r="F52" s="34"/>
      <c r="G52" s="809"/>
      <c r="H52" s="809"/>
      <c r="I52" s="809"/>
      <c r="J52" s="34"/>
      <c r="K52" s="34"/>
      <c r="L52" s="34"/>
      <c r="M52" s="34"/>
      <c r="N52" s="809"/>
      <c r="O52" s="809"/>
      <c r="P52" s="809"/>
      <c r="Q52" s="809"/>
      <c r="R52" s="809"/>
      <c r="S52" s="809"/>
      <c r="T52" s="809"/>
      <c r="U52" s="34"/>
      <c r="V52" s="34"/>
      <c r="W52" s="34"/>
      <c r="X52" s="34"/>
      <c r="Y52" s="34"/>
      <c r="Z52" s="34"/>
      <c r="AA52" s="34"/>
      <c r="AB52" s="34"/>
      <c r="AC52" s="34"/>
      <c r="AD52" s="34"/>
      <c r="AE52" s="34"/>
      <c r="AF52" s="34"/>
      <c r="AG52" s="34"/>
      <c r="AH52" s="34"/>
      <c r="AI52" s="34"/>
      <c r="AJ52" s="34"/>
      <c r="AK52" s="34"/>
      <c r="AL52" s="34"/>
    </row>
    <row r="53" spans="1:38" ht="51" customHeight="1">
      <c r="A53" s="34"/>
      <c r="B53" s="897"/>
      <c r="C53" s="897"/>
      <c r="D53" s="34"/>
      <c r="E53" s="34"/>
      <c r="F53" s="34"/>
      <c r="G53" s="809"/>
      <c r="H53" s="809"/>
      <c r="I53" s="809"/>
      <c r="J53" s="34"/>
      <c r="K53" s="34"/>
      <c r="L53" s="34"/>
      <c r="M53" s="34"/>
      <c r="N53" s="809"/>
      <c r="O53" s="809"/>
      <c r="P53" s="809"/>
      <c r="Q53" s="809"/>
      <c r="R53" s="809"/>
      <c r="S53" s="809"/>
      <c r="T53" s="809"/>
      <c r="U53" s="34"/>
      <c r="V53" s="34"/>
      <c r="W53" s="34"/>
      <c r="X53" s="34"/>
      <c r="Y53" s="34"/>
      <c r="Z53" s="34"/>
      <c r="AA53" s="34"/>
      <c r="AB53" s="34"/>
      <c r="AC53" s="34"/>
      <c r="AD53" s="34"/>
      <c r="AE53" s="34"/>
      <c r="AF53" s="34"/>
      <c r="AG53" s="34"/>
      <c r="AH53" s="34"/>
      <c r="AI53" s="34"/>
      <c r="AJ53" s="34"/>
      <c r="AK53" s="34"/>
      <c r="AL53" s="34"/>
    </row>
    <row r="54" spans="1:38" ht="51" customHeight="1">
      <c r="A54" s="34"/>
      <c r="B54" s="897"/>
      <c r="C54" s="897"/>
      <c r="D54" s="34"/>
      <c r="E54" s="34"/>
      <c r="F54" s="34"/>
      <c r="G54" s="809"/>
      <c r="H54" s="809"/>
      <c r="I54" s="809"/>
      <c r="J54" s="809"/>
      <c r="K54" s="809"/>
      <c r="L54" s="809"/>
      <c r="M54" s="809"/>
      <c r="N54" s="809"/>
      <c r="O54" s="809"/>
      <c r="P54" s="809"/>
      <c r="Q54" s="34"/>
      <c r="R54" s="34"/>
      <c r="S54" s="34"/>
      <c r="T54" s="34"/>
      <c r="U54" s="34"/>
      <c r="V54" s="34"/>
      <c r="W54" s="34"/>
      <c r="X54" s="34"/>
      <c r="Y54" s="34"/>
      <c r="Z54" s="34"/>
      <c r="AA54" s="34"/>
      <c r="AB54" s="34"/>
      <c r="AC54" s="34"/>
      <c r="AD54" s="34"/>
      <c r="AE54" s="34"/>
      <c r="AF54" s="34"/>
      <c r="AG54" s="34"/>
      <c r="AH54" s="34"/>
      <c r="AI54" s="34"/>
      <c r="AJ54" s="34"/>
      <c r="AK54" s="34"/>
      <c r="AL54" s="34"/>
    </row>
    <row r="55" spans="1:38" ht="51" customHeight="1">
      <c r="A55" s="34"/>
      <c r="B55" s="897"/>
      <c r="C55" s="897"/>
      <c r="D55" s="34"/>
      <c r="E55" s="34"/>
      <c r="F55" s="34"/>
      <c r="G55" s="809"/>
      <c r="H55" s="809"/>
      <c r="I55" s="809"/>
      <c r="J55" s="809"/>
      <c r="K55" s="809"/>
      <c r="L55" s="809"/>
      <c r="M55" s="809"/>
      <c r="N55" s="809"/>
      <c r="O55" s="809"/>
      <c r="P55" s="809"/>
      <c r="Q55" s="34"/>
      <c r="R55" s="34"/>
      <c r="S55" s="34"/>
      <c r="T55" s="34"/>
      <c r="U55" s="34"/>
      <c r="V55" s="34"/>
      <c r="W55" s="34"/>
      <c r="X55" s="34"/>
      <c r="Y55" s="34"/>
      <c r="Z55" s="34"/>
      <c r="AA55" s="34"/>
      <c r="AB55" s="34"/>
      <c r="AC55" s="34"/>
      <c r="AD55" s="34"/>
      <c r="AE55" s="34"/>
      <c r="AF55" s="34"/>
      <c r="AG55" s="34"/>
      <c r="AH55" s="34"/>
      <c r="AI55" s="34"/>
      <c r="AJ55" s="34"/>
      <c r="AK55" s="34"/>
      <c r="AL55" s="34"/>
    </row>
    <row r="56" spans="1:38" ht="51" customHeight="1">
      <c r="A56" s="34"/>
      <c r="B56" s="897"/>
      <c r="C56" s="897"/>
      <c r="D56" s="34"/>
      <c r="E56" s="34"/>
      <c r="F56" s="34"/>
      <c r="G56" s="809"/>
      <c r="H56" s="809"/>
      <c r="I56" s="809"/>
      <c r="J56" s="809"/>
      <c r="K56" s="809"/>
      <c r="L56" s="809"/>
      <c r="M56" s="809"/>
      <c r="N56" s="809"/>
      <c r="O56" s="809"/>
      <c r="P56" s="809"/>
      <c r="Q56" s="34"/>
      <c r="R56" s="34"/>
      <c r="S56" s="34"/>
      <c r="T56" s="34"/>
      <c r="U56" s="34"/>
      <c r="V56" s="34"/>
      <c r="W56" s="34"/>
      <c r="X56" s="34"/>
      <c r="Y56" s="34"/>
      <c r="Z56" s="34"/>
      <c r="AA56" s="34"/>
      <c r="AB56" s="34"/>
      <c r="AC56" s="34"/>
      <c r="AD56" s="34"/>
      <c r="AE56" s="34"/>
      <c r="AF56" s="34"/>
      <c r="AG56" s="34"/>
      <c r="AH56" s="34"/>
      <c r="AI56" s="34"/>
      <c r="AJ56" s="34"/>
      <c r="AK56" s="34"/>
      <c r="AL56" s="34"/>
    </row>
    <row r="57" spans="1:38" ht="51" customHeight="1">
      <c r="A57" s="34"/>
      <c r="B57" s="897"/>
      <c r="C57" s="897"/>
      <c r="D57" s="34"/>
      <c r="E57" s="34"/>
      <c r="F57" s="34"/>
      <c r="G57" s="809"/>
      <c r="H57" s="809"/>
      <c r="I57" s="809"/>
      <c r="J57" s="809"/>
      <c r="K57" s="809"/>
      <c r="L57" s="809"/>
      <c r="M57" s="809"/>
      <c r="N57" s="809"/>
      <c r="O57" s="809"/>
      <c r="P57" s="809"/>
      <c r="Q57" s="34"/>
      <c r="R57" s="34"/>
      <c r="S57" s="34"/>
      <c r="T57" s="34"/>
      <c r="U57" s="34"/>
      <c r="V57" s="34"/>
      <c r="W57" s="34"/>
      <c r="X57" s="34"/>
      <c r="Y57" s="34"/>
      <c r="Z57" s="34"/>
      <c r="AA57" s="34"/>
      <c r="AB57" s="34"/>
      <c r="AC57" s="34"/>
      <c r="AD57" s="34"/>
      <c r="AE57" s="34"/>
      <c r="AF57" s="34"/>
      <c r="AG57" s="34"/>
      <c r="AH57" s="34"/>
      <c r="AI57" s="34"/>
      <c r="AJ57" s="34"/>
      <c r="AK57" s="34"/>
      <c r="AL57" s="34"/>
    </row>
    <row r="58" spans="1:38" ht="51" customHeight="1">
      <c r="A58" s="34"/>
      <c r="B58" s="897"/>
      <c r="C58" s="897"/>
      <c r="D58" s="34"/>
      <c r="E58" s="34"/>
      <c r="F58" s="34"/>
      <c r="G58" s="809"/>
      <c r="H58" s="809"/>
      <c r="I58" s="809"/>
      <c r="J58" s="809"/>
      <c r="K58" s="809"/>
      <c r="L58" s="809"/>
      <c r="M58" s="809"/>
      <c r="N58" s="809"/>
      <c r="O58" s="809"/>
      <c r="P58" s="809"/>
      <c r="Q58" s="34"/>
      <c r="R58" s="34"/>
      <c r="S58" s="34"/>
      <c r="T58" s="34"/>
      <c r="U58" s="34"/>
      <c r="V58" s="34"/>
      <c r="W58" s="34"/>
      <c r="X58" s="34"/>
      <c r="Y58" s="34"/>
      <c r="Z58" s="34"/>
      <c r="AA58" s="34"/>
      <c r="AB58" s="34"/>
      <c r="AC58" s="34"/>
      <c r="AD58" s="34"/>
      <c r="AE58" s="34"/>
      <c r="AF58" s="34"/>
      <c r="AG58" s="34"/>
      <c r="AH58" s="34"/>
      <c r="AI58" s="34"/>
      <c r="AJ58" s="34"/>
      <c r="AK58" s="34"/>
      <c r="AL58" s="34"/>
    </row>
    <row r="59" spans="1:38" ht="51" customHeight="1">
      <c r="A59" s="34"/>
      <c r="B59" s="897"/>
      <c r="C59" s="897"/>
      <c r="D59" s="34"/>
      <c r="E59" s="34"/>
      <c r="F59" s="34"/>
      <c r="G59" s="809"/>
      <c r="H59" s="809"/>
      <c r="I59" s="809"/>
      <c r="J59" s="809"/>
      <c r="K59" s="809"/>
      <c r="L59" s="809"/>
      <c r="M59" s="809"/>
      <c r="N59" s="809"/>
      <c r="O59" s="809"/>
      <c r="P59" s="809"/>
      <c r="Q59" s="34"/>
      <c r="R59" s="34"/>
      <c r="S59" s="34"/>
      <c r="T59" s="34"/>
      <c r="U59" s="34"/>
      <c r="V59" s="34"/>
      <c r="W59" s="34"/>
      <c r="X59" s="34"/>
      <c r="Y59" s="34"/>
      <c r="Z59" s="34"/>
      <c r="AA59" s="34"/>
      <c r="AB59" s="34"/>
      <c r="AC59" s="34"/>
      <c r="AD59" s="34"/>
      <c r="AE59" s="34"/>
      <c r="AF59" s="34"/>
      <c r="AG59" s="34"/>
      <c r="AH59" s="34"/>
      <c r="AI59" s="34"/>
      <c r="AJ59" s="34"/>
      <c r="AK59" s="34"/>
      <c r="AL59" s="34"/>
    </row>
    <row r="60" spans="1:38" ht="51" customHeight="1">
      <c r="A60" s="34"/>
      <c r="B60" s="897"/>
      <c r="C60" s="897"/>
      <c r="D60" s="34"/>
      <c r="E60" s="34"/>
      <c r="F60" s="34"/>
      <c r="G60" s="809"/>
      <c r="H60" s="809"/>
      <c r="I60" s="809"/>
      <c r="J60" s="809"/>
      <c r="K60" s="809"/>
      <c r="L60" s="809"/>
      <c r="M60" s="809"/>
      <c r="N60" s="809"/>
      <c r="O60" s="809"/>
      <c r="P60" s="809"/>
      <c r="Q60" s="34"/>
      <c r="R60" s="34"/>
      <c r="S60" s="34"/>
      <c r="T60" s="34"/>
      <c r="U60" s="34"/>
      <c r="V60" s="34"/>
      <c r="W60" s="34"/>
      <c r="X60" s="34"/>
      <c r="Y60" s="34"/>
      <c r="Z60" s="34"/>
      <c r="AA60" s="34"/>
      <c r="AB60" s="34"/>
      <c r="AC60" s="34"/>
      <c r="AD60" s="34"/>
      <c r="AE60" s="34"/>
      <c r="AF60" s="34"/>
      <c r="AG60" s="34"/>
      <c r="AH60" s="34"/>
      <c r="AI60" s="34"/>
      <c r="AJ60" s="34"/>
      <c r="AK60" s="34"/>
      <c r="AL60" s="34"/>
    </row>
    <row r="61" spans="1:38" ht="51" customHeight="1">
      <c r="A61" s="34"/>
      <c r="B61" s="897"/>
      <c r="C61" s="897"/>
      <c r="D61" s="34"/>
      <c r="E61" s="34"/>
      <c r="F61" s="34"/>
      <c r="G61" s="809"/>
      <c r="H61" s="809"/>
      <c r="I61" s="809"/>
      <c r="J61" s="809"/>
      <c r="K61" s="809"/>
      <c r="L61" s="809"/>
      <c r="M61" s="809"/>
      <c r="N61" s="809"/>
      <c r="O61" s="809"/>
      <c r="P61" s="809"/>
      <c r="Q61" s="34"/>
      <c r="R61" s="34"/>
      <c r="S61" s="34"/>
      <c r="T61" s="34"/>
      <c r="U61" s="34"/>
      <c r="V61" s="34"/>
      <c r="W61" s="34"/>
      <c r="X61" s="34"/>
      <c r="Y61" s="34"/>
      <c r="Z61" s="34"/>
      <c r="AA61" s="34"/>
      <c r="AB61" s="34"/>
      <c r="AC61" s="34"/>
      <c r="AD61" s="34"/>
      <c r="AE61" s="34"/>
      <c r="AF61" s="34"/>
      <c r="AG61" s="34"/>
      <c r="AH61" s="34"/>
      <c r="AI61" s="34"/>
      <c r="AJ61" s="34"/>
      <c r="AK61" s="34"/>
      <c r="AL61" s="34"/>
    </row>
    <row r="62" spans="1:38" ht="51" customHeight="1">
      <c r="A62" s="34"/>
      <c r="B62" s="897"/>
      <c r="C62" s="897"/>
      <c r="D62" s="34"/>
      <c r="E62" s="34"/>
      <c r="F62" s="34"/>
      <c r="G62" s="809"/>
      <c r="H62" s="809"/>
      <c r="I62" s="809"/>
      <c r="J62" s="809"/>
      <c r="K62" s="809"/>
      <c r="L62" s="809"/>
      <c r="M62" s="809"/>
      <c r="N62" s="809"/>
      <c r="O62" s="809"/>
      <c r="P62" s="809"/>
      <c r="Q62" s="34"/>
      <c r="R62" s="34"/>
      <c r="S62" s="34"/>
      <c r="T62" s="34"/>
      <c r="U62" s="34"/>
      <c r="V62" s="34"/>
      <c r="W62" s="34"/>
      <c r="X62" s="34"/>
      <c r="Y62" s="34"/>
      <c r="Z62" s="34"/>
      <c r="AA62" s="34"/>
      <c r="AB62" s="34"/>
      <c r="AC62" s="34"/>
      <c r="AD62" s="34"/>
      <c r="AE62" s="34"/>
      <c r="AF62" s="34"/>
      <c r="AG62" s="34"/>
      <c r="AH62" s="34"/>
      <c r="AI62" s="34"/>
      <c r="AJ62" s="34"/>
      <c r="AK62" s="34"/>
      <c r="AL62" s="34"/>
    </row>
    <row r="63" spans="1:38" ht="51" customHeight="1">
      <c r="A63" s="34"/>
      <c r="B63" s="897"/>
      <c r="C63" s="897"/>
      <c r="D63" s="34"/>
      <c r="E63" s="34"/>
      <c r="F63" s="34"/>
      <c r="G63" s="809"/>
      <c r="H63" s="809"/>
      <c r="I63" s="809"/>
      <c r="J63" s="809"/>
      <c r="K63" s="809"/>
      <c r="L63" s="809"/>
      <c r="M63" s="809"/>
      <c r="N63" s="809"/>
      <c r="O63" s="809"/>
      <c r="P63" s="809"/>
      <c r="Q63" s="34"/>
      <c r="R63" s="34"/>
      <c r="S63" s="34"/>
      <c r="T63" s="34"/>
      <c r="U63" s="34"/>
      <c r="V63" s="34"/>
      <c r="W63" s="34"/>
      <c r="X63" s="34"/>
      <c r="Y63" s="34"/>
      <c r="Z63" s="34"/>
      <c r="AA63" s="34"/>
      <c r="AB63" s="34"/>
      <c r="AC63" s="34"/>
      <c r="AD63" s="34"/>
      <c r="AE63" s="34"/>
      <c r="AF63" s="34"/>
      <c r="AG63" s="34"/>
      <c r="AH63" s="34"/>
      <c r="AI63" s="34"/>
      <c r="AJ63" s="34"/>
      <c r="AK63" s="34"/>
      <c r="AL63" s="34"/>
    </row>
    <row r="64" spans="1:38">
      <c r="A64" s="34"/>
      <c r="B64" s="897"/>
      <c r="C64" s="897"/>
      <c r="D64" s="34"/>
      <c r="E64" s="34"/>
      <c r="F64" s="34"/>
      <c r="G64" s="809"/>
      <c r="H64" s="809"/>
      <c r="I64" s="809"/>
      <c r="J64" s="809"/>
      <c r="K64" s="809"/>
      <c r="L64" s="809"/>
      <c r="M64" s="809"/>
      <c r="N64" s="809"/>
      <c r="O64" s="809"/>
      <c r="P64" s="809"/>
      <c r="Q64" s="34"/>
      <c r="R64" s="34"/>
      <c r="S64" s="34"/>
      <c r="T64" s="34"/>
      <c r="U64" s="34"/>
      <c r="V64" s="34"/>
      <c r="W64" s="34"/>
      <c r="X64" s="34"/>
      <c r="Y64" s="34"/>
      <c r="Z64" s="34"/>
      <c r="AA64" s="34"/>
      <c r="AB64" s="34"/>
      <c r="AC64" s="34"/>
      <c r="AD64" s="34"/>
      <c r="AE64" s="34"/>
      <c r="AF64" s="34"/>
      <c r="AG64" s="34"/>
      <c r="AH64" s="34"/>
      <c r="AI64" s="34"/>
      <c r="AJ64" s="34"/>
      <c r="AK64" s="34"/>
      <c r="AL64" s="34"/>
    </row>
    <row r="65" spans="2:16">
      <c r="B65" s="611"/>
      <c r="C65" s="611"/>
      <c r="E65" s="34"/>
      <c r="G65" s="7"/>
      <c r="H65" s="7"/>
      <c r="I65" s="7"/>
      <c r="J65" s="7"/>
      <c r="K65" s="7"/>
      <c r="L65" s="7"/>
      <c r="M65" s="7"/>
      <c r="N65" s="7"/>
      <c r="O65" s="7"/>
      <c r="P65" s="7"/>
    </row>
    <row r="66" spans="2:16">
      <c r="B66" s="611"/>
      <c r="C66" s="611"/>
      <c r="E66" s="34"/>
      <c r="G66" s="7"/>
      <c r="H66" s="7"/>
      <c r="I66" s="7"/>
      <c r="J66" s="7"/>
      <c r="K66" s="7"/>
      <c r="L66" s="7"/>
      <c r="M66" s="7"/>
      <c r="N66" s="7"/>
      <c r="O66" s="7"/>
      <c r="P66" s="7"/>
    </row>
    <row r="67" spans="2:16">
      <c r="B67" s="611"/>
      <c r="C67" s="611"/>
      <c r="E67" s="34"/>
      <c r="G67" s="7"/>
      <c r="H67" s="7"/>
      <c r="I67" s="7"/>
      <c r="J67" s="7"/>
      <c r="K67" s="7"/>
      <c r="L67" s="7"/>
      <c r="M67" s="7"/>
      <c r="N67" s="7"/>
      <c r="O67" s="7"/>
      <c r="P67" s="7"/>
    </row>
    <row r="68" spans="2:16">
      <c r="B68" s="611"/>
      <c r="C68" s="611"/>
      <c r="E68" s="34"/>
      <c r="G68" s="7"/>
      <c r="H68" s="7"/>
      <c r="I68" s="7"/>
      <c r="J68" s="7"/>
      <c r="K68" s="7"/>
      <c r="L68" s="7"/>
      <c r="M68" s="7"/>
      <c r="N68" s="7"/>
      <c r="O68" s="7"/>
      <c r="P68" s="7"/>
    </row>
    <row r="69" spans="2:16">
      <c r="B69" s="611"/>
      <c r="C69" s="611"/>
      <c r="E69" s="34"/>
      <c r="G69" s="7"/>
      <c r="H69" s="7"/>
      <c r="I69" s="7"/>
      <c r="J69" s="7"/>
      <c r="K69" s="7"/>
      <c r="L69" s="7"/>
      <c r="M69" s="7"/>
      <c r="N69" s="7"/>
      <c r="O69" s="7"/>
      <c r="P69" s="7"/>
    </row>
    <row r="70" spans="2:16">
      <c r="B70" s="611"/>
      <c r="C70" s="611"/>
      <c r="E70" s="34"/>
      <c r="G70" s="7"/>
      <c r="H70" s="7"/>
      <c r="I70" s="7"/>
      <c r="J70" s="7"/>
      <c r="K70" s="7"/>
      <c r="L70" s="7"/>
      <c r="M70" s="7"/>
      <c r="N70" s="7"/>
      <c r="O70" s="7"/>
      <c r="P70" s="7"/>
    </row>
    <row r="71" spans="2:16">
      <c r="B71" s="611"/>
      <c r="C71" s="611"/>
      <c r="E71" s="34"/>
      <c r="G71" s="7"/>
      <c r="H71" s="7"/>
      <c r="I71" s="7"/>
      <c r="J71" s="7"/>
      <c r="K71" s="7"/>
      <c r="L71" s="7"/>
      <c r="M71" s="7"/>
      <c r="N71" s="7"/>
      <c r="O71" s="7"/>
      <c r="P71" s="7"/>
    </row>
    <row r="72" spans="2:16">
      <c r="B72" s="611"/>
      <c r="C72" s="611"/>
      <c r="E72" s="34"/>
      <c r="G72" s="7"/>
      <c r="H72" s="7"/>
      <c r="I72" s="7"/>
      <c r="J72" s="7"/>
      <c r="K72" s="7"/>
      <c r="L72" s="7"/>
      <c r="M72" s="7"/>
      <c r="N72" s="7"/>
      <c r="O72" s="7"/>
      <c r="P72" s="7"/>
    </row>
    <row r="73" spans="2:16">
      <c r="B73" s="611"/>
      <c r="C73" s="611"/>
      <c r="E73" s="34"/>
    </row>
    <row r="74" spans="2:16">
      <c r="B74" s="611"/>
      <c r="C74" s="611"/>
      <c r="E74" s="34"/>
    </row>
    <row r="75" spans="2:16">
      <c r="B75" s="611"/>
      <c r="C75" s="611"/>
      <c r="E75" s="34"/>
    </row>
    <row r="76" spans="2:16">
      <c r="B76" s="611"/>
      <c r="C76" s="611"/>
      <c r="E76" s="34"/>
    </row>
    <row r="77" spans="2:16">
      <c r="B77" s="611"/>
      <c r="C77" s="611"/>
      <c r="E77" s="34"/>
    </row>
    <row r="78" spans="2:16">
      <c r="B78" s="611"/>
      <c r="C78" s="611"/>
      <c r="E78" s="34"/>
    </row>
    <row r="79" spans="2:16">
      <c r="B79" s="611"/>
      <c r="C79" s="611"/>
      <c r="E79" s="34"/>
    </row>
    <row r="80" spans="2:16">
      <c r="B80" s="611"/>
      <c r="C80" s="611"/>
      <c r="E80" s="34"/>
    </row>
    <row r="81" spans="2:5">
      <c r="B81" s="611"/>
      <c r="C81" s="611"/>
      <c r="E81" s="34"/>
    </row>
    <row r="82" spans="2:5">
      <c r="B82" s="611"/>
      <c r="C82" s="611"/>
      <c r="E82" s="34"/>
    </row>
    <row r="83" spans="2:5">
      <c r="B83" s="611"/>
      <c r="C83" s="611"/>
      <c r="E83" s="34"/>
    </row>
    <row r="84" spans="2:5">
      <c r="B84" s="611"/>
      <c r="C84" s="611"/>
      <c r="E84" s="34"/>
    </row>
    <row r="85" spans="2:5">
      <c r="B85" s="611"/>
      <c r="C85" s="611"/>
      <c r="E85" s="34"/>
    </row>
    <row r="86" spans="2:5">
      <c r="B86" s="611"/>
      <c r="C86" s="611"/>
      <c r="E86" s="34"/>
    </row>
    <row r="87" spans="2:5">
      <c r="B87" s="611"/>
      <c r="C87" s="611"/>
      <c r="E87" s="34"/>
    </row>
    <row r="88" spans="2:5">
      <c r="B88" s="611"/>
      <c r="C88" s="611"/>
      <c r="E88" s="34"/>
    </row>
    <row r="89" spans="2:5">
      <c r="B89" s="611"/>
      <c r="C89" s="611"/>
      <c r="E89" s="34"/>
    </row>
    <row r="90" spans="2:5">
      <c r="B90" s="611"/>
      <c r="C90" s="611"/>
      <c r="E90" s="34"/>
    </row>
    <row r="91" spans="2:5">
      <c r="B91" s="611"/>
      <c r="C91" s="611"/>
      <c r="E91" s="34"/>
    </row>
    <row r="92" spans="2:5">
      <c r="B92" s="611"/>
      <c r="C92" s="611"/>
      <c r="E92" s="34"/>
    </row>
    <row r="93" spans="2:5">
      <c r="B93" s="611"/>
      <c r="C93" s="611"/>
      <c r="E93" s="34"/>
    </row>
    <row r="94" spans="2:5">
      <c r="B94" s="611"/>
      <c r="C94" s="611"/>
      <c r="E94" s="34"/>
    </row>
    <row r="95" spans="2:5">
      <c r="B95" s="611"/>
      <c r="C95" s="611"/>
      <c r="E95" s="34"/>
    </row>
    <row r="96" spans="2:5">
      <c r="B96" s="611"/>
      <c r="C96" s="611"/>
      <c r="E96" s="34"/>
    </row>
    <row r="97" spans="2:5">
      <c r="B97" s="611"/>
      <c r="C97" s="611"/>
      <c r="E97" s="34"/>
    </row>
    <row r="98" spans="2:5">
      <c r="B98" s="611"/>
      <c r="C98" s="611"/>
      <c r="E98" s="34"/>
    </row>
    <row r="99" spans="2:5">
      <c r="B99" s="611"/>
      <c r="C99" s="611"/>
      <c r="E99" s="34"/>
    </row>
    <row r="100" spans="2:5">
      <c r="B100" s="611"/>
      <c r="C100" s="611"/>
      <c r="E100" s="34"/>
    </row>
    <row r="101" spans="2:5">
      <c r="B101" s="611"/>
      <c r="C101" s="611"/>
      <c r="E101" s="34"/>
    </row>
    <row r="102" spans="2:5">
      <c r="B102" s="611"/>
      <c r="C102" s="611"/>
      <c r="E102" s="34"/>
    </row>
    <row r="103" spans="2:5">
      <c r="B103" s="611"/>
      <c r="C103" s="611"/>
      <c r="E103" s="34"/>
    </row>
    <row r="104" spans="2:5">
      <c r="B104" s="611"/>
      <c r="C104" s="611"/>
      <c r="E104" s="34"/>
    </row>
    <row r="105" spans="2:5">
      <c r="B105" s="611"/>
      <c r="C105" s="611"/>
      <c r="E105" s="34"/>
    </row>
    <row r="106" spans="2:5">
      <c r="B106" s="611"/>
      <c r="C106" s="611"/>
      <c r="E106" s="34"/>
    </row>
    <row r="107" spans="2:5">
      <c r="B107" s="611"/>
      <c r="C107" s="611"/>
      <c r="E107" s="34"/>
    </row>
    <row r="108" spans="2:5">
      <c r="B108" s="611"/>
      <c r="C108" s="611"/>
      <c r="E108" s="34"/>
    </row>
    <row r="109" spans="2:5">
      <c r="B109" s="611"/>
      <c r="C109" s="611"/>
      <c r="E109" s="34"/>
    </row>
    <row r="110" spans="2:5">
      <c r="B110" s="611"/>
      <c r="C110" s="611"/>
      <c r="E110" s="34"/>
    </row>
    <row r="111" spans="2:5">
      <c r="B111" s="611"/>
      <c r="C111" s="611"/>
      <c r="E111" s="34"/>
    </row>
    <row r="112" spans="2:5">
      <c r="B112" s="611"/>
      <c r="C112" s="611"/>
      <c r="E112" s="34"/>
    </row>
    <row r="113" spans="2:5">
      <c r="B113" s="611"/>
      <c r="C113" s="611"/>
      <c r="E113" s="34"/>
    </row>
    <row r="114" spans="2:5">
      <c r="B114" s="611"/>
      <c r="C114" s="611"/>
      <c r="E114" s="34"/>
    </row>
    <row r="115" spans="2:5">
      <c r="B115" s="611"/>
      <c r="C115" s="611"/>
      <c r="E115" s="34"/>
    </row>
    <row r="116" spans="2:5">
      <c r="B116" s="611"/>
      <c r="C116" s="611"/>
      <c r="E116" s="34"/>
    </row>
    <row r="117" spans="2:5">
      <c r="B117" s="611"/>
      <c r="C117" s="611"/>
      <c r="E117" s="34"/>
    </row>
    <row r="118" spans="2:5">
      <c r="B118" s="611"/>
      <c r="C118" s="611"/>
      <c r="E118" s="34"/>
    </row>
    <row r="119" spans="2:5">
      <c r="B119" s="611"/>
      <c r="C119" s="611"/>
      <c r="E119" s="34"/>
    </row>
    <row r="120" spans="2:5">
      <c r="B120" s="611"/>
      <c r="C120" s="611"/>
      <c r="E120" s="34"/>
    </row>
  </sheetData>
  <customSheetViews>
    <customSheetView guid="{5826E3E6-173D-429F-ABE1-D868EE9E034B}" fitToPage="1" hiddenColumns="1" topLeftCell="A43">
      <selection activeCell="G59" sqref="G59"/>
      <pageMargins left="0" right="0" top="0" bottom="0" header="0" footer="0"/>
      <pageSetup paperSize="9" scale="62" orientation="landscape" horizontalDpi="1200" verticalDpi="1200" r:id="rId1"/>
    </customSheetView>
  </customSheetViews>
  <mergeCells count="53">
    <mergeCell ref="AB5:AC5"/>
    <mergeCell ref="AD5:AE5"/>
    <mergeCell ref="A1:D1"/>
    <mergeCell ref="F1:G1"/>
    <mergeCell ref="H1:J1"/>
    <mergeCell ref="X7:Y7"/>
    <mergeCell ref="Z7:AA7"/>
    <mergeCell ref="AB7:AC7"/>
    <mergeCell ref="AD7:AE7"/>
    <mergeCell ref="X8:Y8"/>
    <mergeCell ref="Z8:AA8"/>
    <mergeCell ref="AB8:AC8"/>
    <mergeCell ref="AD8:AE8"/>
    <mergeCell ref="X9:Y9"/>
    <mergeCell ref="Z9:AA9"/>
    <mergeCell ref="AB9:AC9"/>
    <mergeCell ref="AD9:AE9"/>
    <mergeCell ref="X10:Y10"/>
    <mergeCell ref="Z10:AA10"/>
    <mergeCell ref="AB10:AC10"/>
    <mergeCell ref="AD10:AE10"/>
    <mergeCell ref="X13:Y13"/>
    <mergeCell ref="Z13:AA13"/>
    <mergeCell ref="AB13:AC13"/>
    <mergeCell ref="AD13:AE13"/>
    <mergeCell ref="X11:Y11"/>
    <mergeCell ref="Z11:AA11"/>
    <mergeCell ref="AB11:AC11"/>
    <mergeCell ref="AD11:AE11"/>
    <mergeCell ref="X12:Y12"/>
    <mergeCell ref="Z12:AA12"/>
    <mergeCell ref="AB12:AC12"/>
    <mergeCell ref="AD12:AE12"/>
    <mergeCell ref="AD15:AE15"/>
    <mergeCell ref="X16:Y16"/>
    <mergeCell ref="Z16:AA16"/>
    <mergeCell ref="AB16:AC16"/>
    <mergeCell ref="AD16:AE16"/>
    <mergeCell ref="X15:Y15"/>
    <mergeCell ref="Z15:AA15"/>
    <mergeCell ref="AB15:AC15"/>
    <mergeCell ref="X20:Y20"/>
    <mergeCell ref="Z20:AA20"/>
    <mergeCell ref="AB20:AC20"/>
    <mergeCell ref="AD20:AE20"/>
    <mergeCell ref="X17:Y17"/>
    <mergeCell ref="Z17:AA17"/>
    <mergeCell ref="AB17:AC17"/>
    <mergeCell ref="AD17:AE17"/>
    <mergeCell ref="X18:Y18"/>
    <mergeCell ref="Z18:AA18"/>
    <mergeCell ref="AB18:AC18"/>
    <mergeCell ref="AD18:AE18"/>
  </mergeCells>
  <printOptions headings="1" gridLines="1"/>
  <pageMargins left="0.70866141732283472" right="0.70866141732283472" top="0.74803149606299213" bottom="0.74803149606299213" header="0.31496062992125984" footer="0.31496062992125984"/>
  <pageSetup paperSize="9" scale="44" orientation="landscape" horizontalDpi="1200" verticalDpi="1200" r:id="rId2"/>
  <headerFooter>
    <oddHeader>&amp;L&amp;8&amp;D&amp;C&amp;8DRAFT&amp;R&amp;8&amp;A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499984740745262"/>
    <pageSetUpPr fitToPage="1"/>
  </sheetPr>
  <dimension ref="A1:AF63"/>
  <sheetViews>
    <sheetView workbookViewId="0">
      <selection sqref="A1:B1"/>
    </sheetView>
  </sheetViews>
  <sheetFormatPr defaultRowHeight="12.75"/>
  <cols>
    <col min="1" max="1" width="3" customWidth="1"/>
    <col min="2" max="2" width="11.5703125" customWidth="1"/>
    <col min="3" max="3" width="17.85546875" customWidth="1"/>
    <col min="4" max="4" width="4.5703125" bestFit="1" customWidth="1"/>
    <col min="5" max="5" width="1.5703125" customWidth="1"/>
    <col min="6" max="6" width="10" bestFit="1" customWidth="1"/>
    <col min="7" max="7" width="1.5703125" customWidth="1"/>
    <col min="8" max="8" width="9" customWidth="1"/>
    <col min="9" max="9" width="1.5703125" customWidth="1"/>
    <col min="10" max="10" width="8.28515625" customWidth="1"/>
    <col min="11" max="11" width="2.28515625" customWidth="1"/>
    <col min="12" max="12" width="2.85546875" customWidth="1"/>
    <col min="13" max="13" width="9.85546875" bestFit="1" customWidth="1"/>
    <col min="14" max="14" width="2" customWidth="1"/>
    <col min="15" max="15" width="10" customWidth="1"/>
    <col min="16" max="16" width="1.85546875" customWidth="1"/>
    <col min="17" max="17" width="8.5703125" customWidth="1"/>
    <col min="18" max="18" width="3" customWidth="1"/>
    <col min="19" max="19" width="2.85546875" customWidth="1"/>
    <col min="20" max="20" width="8.28515625" customWidth="1"/>
    <col min="21" max="21" width="5.85546875" customWidth="1"/>
    <col min="22" max="22" width="2.5703125" customWidth="1"/>
    <col min="23" max="23" width="8.5703125" bestFit="1" customWidth="1"/>
    <col min="24" max="24" width="13.85546875" bestFit="1" customWidth="1"/>
    <col min="25" max="25" width="8.28515625" customWidth="1"/>
    <col min="26" max="26" width="10.85546875" bestFit="1" customWidth="1"/>
    <col min="27" max="27" width="13.85546875" bestFit="1" customWidth="1"/>
  </cols>
  <sheetData>
    <row r="1" spans="1:24" ht="13.5">
      <c r="A1" s="1637">
        <f>NOW()</f>
        <v>43966.718486805556</v>
      </c>
      <c r="B1" s="1637"/>
      <c r="D1" s="4"/>
      <c r="F1" s="4"/>
      <c r="G1" s="4"/>
      <c r="H1" s="4"/>
      <c r="I1" s="4"/>
      <c r="J1" s="4"/>
      <c r="K1" s="4"/>
      <c r="L1" s="4"/>
      <c r="M1" s="4"/>
      <c r="N1" s="4"/>
      <c r="O1" s="4"/>
      <c r="P1" s="4"/>
      <c r="Q1" s="4"/>
      <c r="R1" s="4"/>
      <c r="S1" s="4"/>
      <c r="T1" s="4"/>
      <c r="U1" s="4"/>
      <c r="V1" s="4"/>
    </row>
    <row r="2" spans="1:24" ht="84" customHeight="1">
      <c r="A2" s="452"/>
      <c r="B2" s="451"/>
      <c r="C2" s="1638" t="s">
        <v>193</v>
      </c>
      <c r="D2" s="1638"/>
      <c r="E2" s="167"/>
      <c r="F2" s="44"/>
      <c r="G2" s="44"/>
      <c r="H2" s="44"/>
      <c r="I2" s="44"/>
      <c r="J2" s="44"/>
      <c r="K2" s="44"/>
      <c r="V2" s="78" t="e">
        <f>#REF!</f>
        <v>#REF!</v>
      </c>
      <c r="W2" s="101"/>
      <c r="X2" s="46"/>
    </row>
    <row r="3" spans="1:24" ht="15.75">
      <c r="A3" s="231" t="s">
        <v>640</v>
      </c>
      <c r="B3" s="232"/>
      <c r="C3" s="233"/>
      <c r="D3" s="171"/>
      <c r="E3" s="171"/>
      <c r="F3" s="1632">
        <v>2017</v>
      </c>
      <c r="G3" s="1633"/>
      <c r="H3" s="1633"/>
      <c r="I3" s="1633"/>
      <c r="J3" s="1634"/>
      <c r="K3" s="1635" t="s">
        <v>641</v>
      </c>
      <c r="L3" s="1636"/>
      <c r="M3" s="1632">
        <v>2018</v>
      </c>
      <c r="N3" s="1633"/>
      <c r="O3" s="1633"/>
      <c r="P3" s="1633"/>
      <c r="Q3" s="1634"/>
      <c r="R3" s="173"/>
      <c r="V3" s="3"/>
    </row>
    <row r="4" spans="1:24" ht="15.75">
      <c r="A4" s="171"/>
      <c r="B4" s="171"/>
      <c r="C4" s="171"/>
      <c r="D4" s="171"/>
      <c r="E4" s="171"/>
      <c r="F4" s="171"/>
      <c r="G4" s="171"/>
      <c r="H4" s="172"/>
      <c r="I4" s="172"/>
      <c r="M4" s="176"/>
      <c r="N4" s="173"/>
      <c r="O4" s="173"/>
      <c r="P4" s="173"/>
      <c r="Q4" s="173"/>
      <c r="R4" s="173"/>
      <c r="T4" s="220" t="s">
        <v>468</v>
      </c>
      <c r="U4" s="199" t="s">
        <v>642</v>
      </c>
      <c r="V4" s="3"/>
    </row>
    <row r="5" spans="1:24">
      <c r="B5" s="1" t="s">
        <v>643</v>
      </c>
      <c r="D5" s="6"/>
      <c r="F5" s="29" t="e">
        <f>'Econ-Perf 2'!#REF!</f>
        <v>#REF!</v>
      </c>
      <c r="G5" s="29"/>
      <c r="K5" s="181"/>
      <c r="M5" s="29" t="e">
        <f>'Econ-Perf 2'!#REF!</f>
        <v>#REF!</v>
      </c>
      <c r="N5" s="29"/>
      <c r="S5" s="3" t="s">
        <v>644</v>
      </c>
      <c r="T5" s="221" t="e">
        <f>M5-F5</f>
        <v>#REF!</v>
      </c>
      <c r="U5" s="3" t="s">
        <v>645</v>
      </c>
    </row>
    <row r="6" spans="1:24">
      <c r="D6" s="6"/>
      <c r="H6" s="9"/>
      <c r="I6" s="9"/>
      <c r="K6" s="181"/>
      <c r="O6" s="9"/>
      <c r="P6" s="9"/>
      <c r="T6" s="195"/>
      <c r="U6" s="3"/>
    </row>
    <row r="7" spans="1:24">
      <c r="B7" s="1631" t="s">
        <v>646</v>
      </c>
      <c r="C7" s="1631"/>
      <c r="D7" s="38" t="s">
        <v>647</v>
      </c>
      <c r="H7" s="29" t="e">
        <f>'Econ-Perf 2'!#REF!</f>
        <v>#REF!</v>
      </c>
      <c r="I7" s="29"/>
      <c r="J7" s="9"/>
      <c r="K7" s="178"/>
      <c r="O7" s="29" t="e">
        <f>'Econ-Perf 2'!#REF!</f>
        <v>#REF!</v>
      </c>
      <c r="P7" s="29"/>
      <c r="Q7" s="9"/>
      <c r="R7" s="9"/>
      <c r="S7" s="3" t="s">
        <v>644</v>
      </c>
      <c r="T7" s="221" t="e">
        <f>O7-H7</f>
        <v>#REF!</v>
      </c>
      <c r="U7" s="38" t="s">
        <v>647</v>
      </c>
      <c r="V7" s="170"/>
    </row>
    <row r="8" spans="1:24">
      <c r="B8" s="4"/>
      <c r="C8" s="10"/>
      <c r="D8" s="38"/>
      <c r="F8" s="9"/>
      <c r="G8" s="9"/>
      <c r="H8" s="9"/>
      <c r="I8" s="9"/>
      <c r="J8" s="9"/>
      <c r="K8" s="178"/>
      <c r="M8" s="9"/>
      <c r="N8" s="9"/>
      <c r="O8" s="9"/>
      <c r="P8" s="9"/>
      <c r="Q8" s="9"/>
      <c r="R8" s="9"/>
      <c r="T8" s="239"/>
      <c r="U8" s="38"/>
    </row>
    <row r="9" spans="1:24">
      <c r="C9" s="9"/>
      <c r="D9" s="6"/>
      <c r="F9" s="235" t="s">
        <v>599</v>
      </c>
      <c r="G9" s="236"/>
      <c r="H9" s="207" t="s">
        <v>648</v>
      </c>
      <c r="I9" s="237"/>
      <c r="J9" s="238" t="s">
        <v>649</v>
      </c>
      <c r="K9" s="211"/>
      <c r="M9" s="235" t="s">
        <v>599</v>
      </c>
      <c r="N9" s="236"/>
      <c r="O9" s="207" t="s">
        <v>648</v>
      </c>
      <c r="P9" s="237"/>
      <c r="Q9" s="238" t="s">
        <v>649</v>
      </c>
      <c r="R9" s="219"/>
      <c r="S9" s="101"/>
      <c r="T9" s="195"/>
      <c r="U9" s="38"/>
    </row>
    <row r="10" spans="1:24">
      <c r="C10" s="9"/>
      <c r="D10" s="6"/>
      <c r="F10" s="206"/>
      <c r="G10" s="206"/>
      <c r="H10" s="206"/>
      <c r="I10" s="206"/>
      <c r="J10" s="206"/>
      <c r="K10" s="212"/>
      <c r="M10" s="206"/>
      <c r="N10" s="206"/>
      <c r="O10" s="206"/>
      <c r="P10" s="206"/>
      <c r="Q10" s="206"/>
      <c r="R10" s="206"/>
      <c r="S10" s="101"/>
      <c r="T10" s="195"/>
      <c r="U10" s="38"/>
    </row>
    <row r="11" spans="1:24">
      <c r="A11" s="103">
        <v>1</v>
      </c>
      <c r="B11" s="1" t="s">
        <v>528</v>
      </c>
      <c r="D11" s="38" t="s">
        <v>43</v>
      </c>
      <c r="E11" s="9"/>
      <c r="F11" s="201" t="e">
        <f>'Econ-Perf 2'!#REF!</f>
        <v>#REF!</v>
      </c>
      <c r="G11" s="193"/>
      <c r="H11" s="1"/>
      <c r="I11" s="1"/>
      <c r="J11" s="29"/>
      <c r="K11" s="180"/>
      <c r="M11" s="201" t="e">
        <f>'Econ-Perf 2'!#REF!</f>
        <v>#REF!</v>
      </c>
      <c r="N11" s="193"/>
      <c r="O11" s="1"/>
      <c r="P11" s="1"/>
      <c r="Q11" s="29"/>
      <c r="R11" s="29"/>
      <c r="S11" s="3" t="s">
        <v>644</v>
      </c>
      <c r="T11" s="222" t="e">
        <f>M11-F11</f>
        <v>#REF!</v>
      </c>
      <c r="U11" s="200" t="s">
        <v>650</v>
      </c>
      <c r="V11" s="170"/>
    </row>
    <row r="12" spans="1:24">
      <c r="A12" s="103"/>
      <c r="B12" s="22"/>
      <c r="D12" s="38"/>
      <c r="F12" s="1"/>
      <c r="G12" s="1"/>
      <c r="H12" s="207" t="e">
        <f>'Econ-Perf 2'!#REF!</f>
        <v>#REF!</v>
      </c>
      <c r="I12" s="210"/>
      <c r="J12" s="29"/>
      <c r="K12" s="180"/>
      <c r="M12" s="1"/>
      <c r="N12" s="1"/>
      <c r="O12" s="207" t="e">
        <f>'Econ-Perf 2'!#REF!</f>
        <v>#REF!</v>
      </c>
      <c r="P12" s="210"/>
      <c r="Q12" s="29"/>
      <c r="R12" s="29"/>
      <c r="S12" s="3" t="s">
        <v>644</v>
      </c>
      <c r="T12" s="223" t="e">
        <f>O12-H12</f>
        <v>#REF!</v>
      </c>
      <c r="U12" s="38" t="s">
        <v>647</v>
      </c>
    </row>
    <row r="13" spans="1:24">
      <c r="A13" s="103">
        <v>2</v>
      </c>
      <c r="B13" s="1" t="s">
        <v>651</v>
      </c>
      <c r="D13" s="6"/>
      <c r="F13" s="1"/>
      <c r="G13" s="1"/>
      <c r="H13" s="1"/>
      <c r="I13" s="1"/>
      <c r="J13" s="204" t="e">
        <f>'Econ-Perf 2'!#REF!</f>
        <v>#REF!</v>
      </c>
      <c r="K13" s="213"/>
      <c r="M13" s="1"/>
      <c r="N13" s="1"/>
      <c r="O13" s="193"/>
      <c r="P13" s="193"/>
      <c r="Q13" s="204" t="e">
        <f>'Econ-Perf 2'!#REF!</f>
        <v>#REF!</v>
      </c>
      <c r="R13" s="194"/>
      <c r="S13" s="3" t="s">
        <v>644</v>
      </c>
      <c r="T13" s="257" t="e">
        <f>Q13-J13</f>
        <v>#REF!</v>
      </c>
      <c r="U13" s="38"/>
    </row>
    <row r="14" spans="1:24">
      <c r="A14" s="103"/>
      <c r="B14" s="1"/>
      <c r="D14" s="6"/>
      <c r="F14" s="1"/>
      <c r="G14" s="1"/>
      <c r="H14" s="1"/>
      <c r="I14" s="1"/>
      <c r="J14" s="120"/>
      <c r="K14" s="213"/>
      <c r="M14" s="1"/>
      <c r="N14" s="1"/>
      <c r="O14" s="193"/>
      <c r="P14" s="193"/>
      <c r="Q14" s="120"/>
      <c r="R14" s="194"/>
      <c r="S14" s="21"/>
      <c r="T14" s="224"/>
      <c r="U14" s="38"/>
    </row>
    <row r="15" spans="1:24">
      <c r="A15" s="103">
        <v>3</v>
      </c>
      <c r="B15" s="1" t="s">
        <v>652</v>
      </c>
      <c r="D15" s="38" t="s">
        <v>491</v>
      </c>
      <c r="F15" s="202" t="e">
        <f>'Econ-Perf 1'!Q39</f>
        <v>#REF!</v>
      </c>
      <c r="G15" s="1"/>
      <c r="H15" s="1"/>
      <c r="I15" s="1"/>
      <c r="J15" s="120"/>
      <c r="K15" s="213"/>
      <c r="M15" s="202" t="e">
        <f>'Econ-Perf 1'!R39</f>
        <v>#REF!</v>
      </c>
      <c r="N15" s="1"/>
      <c r="O15" s="193"/>
      <c r="P15" s="193"/>
      <c r="Q15" s="120"/>
      <c r="R15" s="194"/>
      <c r="S15" s="105"/>
      <c r="T15" s="225" t="e">
        <f>M15-F15</f>
        <v>#REF!</v>
      </c>
      <c r="U15" s="38" t="s">
        <v>516</v>
      </c>
    </row>
    <row r="16" spans="1:24">
      <c r="A16" s="103"/>
      <c r="B16" s="1"/>
      <c r="D16" s="6"/>
      <c r="F16" s="1"/>
      <c r="G16" s="1"/>
      <c r="H16" s="1"/>
      <c r="I16" s="1"/>
      <c r="J16" s="120"/>
      <c r="K16" s="213"/>
      <c r="M16" s="1"/>
      <c r="N16" s="1"/>
      <c r="O16" s="193"/>
      <c r="P16" s="193"/>
      <c r="Q16" s="120"/>
      <c r="R16" s="194"/>
      <c r="S16" s="105"/>
      <c r="T16" s="224"/>
      <c r="U16" s="38"/>
    </row>
    <row r="17" spans="1:25">
      <c r="A17" s="103">
        <v>4</v>
      </c>
      <c r="B17" s="1" t="s">
        <v>653</v>
      </c>
      <c r="D17" s="38" t="s">
        <v>491</v>
      </c>
      <c r="F17" s="202" t="e">
        <f>'Econ-Perf 1'!Q40</f>
        <v>#REF!</v>
      </c>
      <c r="G17" s="1"/>
      <c r="H17" s="194"/>
      <c r="I17" s="194"/>
      <c r="J17" s="255"/>
      <c r="K17" s="180"/>
      <c r="M17" s="202" t="e">
        <f>'Econ-Perf 1'!R40</f>
        <v>#REF!</v>
      </c>
      <c r="N17" s="1"/>
      <c r="O17" s="193"/>
      <c r="P17" s="193"/>
      <c r="Q17" s="255"/>
      <c r="R17" s="29"/>
      <c r="S17" s="105"/>
      <c r="T17" s="225" t="e">
        <f>M17-F17</f>
        <v>#REF!</v>
      </c>
      <c r="U17" s="38" t="s">
        <v>516</v>
      </c>
    </row>
    <row r="18" spans="1:25">
      <c r="A18" s="103"/>
      <c r="D18" s="6"/>
      <c r="F18" s="1"/>
      <c r="G18" s="1"/>
      <c r="H18" s="194"/>
      <c r="I18" s="194"/>
      <c r="J18" s="255"/>
      <c r="K18" s="180"/>
      <c r="M18" s="1"/>
      <c r="N18" s="1"/>
      <c r="O18" s="193"/>
      <c r="P18" s="193"/>
      <c r="Q18" s="255"/>
      <c r="R18" s="29"/>
      <c r="S18" s="105"/>
      <c r="T18" s="224"/>
      <c r="U18" s="38"/>
    </row>
    <row r="19" spans="1:25">
      <c r="A19" s="103">
        <v>5</v>
      </c>
      <c r="B19" s="1" t="s">
        <v>534</v>
      </c>
      <c r="D19" s="38" t="s">
        <v>43</v>
      </c>
      <c r="F19" s="201" t="e">
        <f>'Econ-Perf 2'!#REF!</f>
        <v>#REF!</v>
      </c>
      <c r="G19" s="193"/>
      <c r="H19" s="1"/>
      <c r="I19" s="1"/>
      <c r="J19" s="256"/>
      <c r="K19" s="182"/>
      <c r="M19" s="201" t="e">
        <f>'Econ-Perf 2'!#REF!</f>
        <v>#REF!</v>
      </c>
      <c r="N19" s="193"/>
      <c r="O19" s="193"/>
      <c r="P19" s="193"/>
      <c r="Q19" s="256"/>
      <c r="R19" s="1"/>
      <c r="S19" s="3" t="s">
        <v>644</v>
      </c>
      <c r="T19" s="226" t="e">
        <f>M19-F19</f>
        <v>#REF!</v>
      </c>
      <c r="U19" s="200" t="s">
        <v>650</v>
      </c>
      <c r="V19" s="170"/>
    </row>
    <row r="20" spans="1:25">
      <c r="A20" s="103"/>
      <c r="B20" s="22"/>
      <c r="D20" s="6"/>
      <c r="F20" s="193"/>
      <c r="G20" s="193"/>
      <c r="H20" s="207" t="e">
        <f>'Econ-Perf 2'!#REF!</f>
        <v>#REF!</v>
      </c>
      <c r="I20" s="210"/>
      <c r="J20" s="255"/>
      <c r="K20" s="180"/>
      <c r="M20" s="193"/>
      <c r="N20" s="193"/>
      <c r="O20" s="207" t="e">
        <f>'Econ-Perf 2'!#REF!</f>
        <v>#REF!</v>
      </c>
      <c r="P20" s="210"/>
      <c r="Q20" s="255"/>
      <c r="R20" s="29"/>
      <c r="S20" s="3" t="s">
        <v>644</v>
      </c>
      <c r="T20" s="223" t="e">
        <f>O20-H20</f>
        <v>#REF!</v>
      </c>
      <c r="U20" s="38" t="s">
        <v>647</v>
      </c>
      <c r="V20" s="170"/>
    </row>
    <row r="21" spans="1:25">
      <c r="A21" s="103">
        <v>6</v>
      </c>
      <c r="B21" s="1" t="s">
        <v>537</v>
      </c>
      <c r="D21" s="6"/>
      <c r="F21" s="193"/>
      <c r="G21" s="193"/>
      <c r="H21" s="193"/>
      <c r="I21" s="193"/>
      <c r="J21" s="204" t="e">
        <f>'Econ-Perf 2'!#REF!</f>
        <v>#REF!</v>
      </c>
      <c r="K21" s="213"/>
      <c r="M21" s="193"/>
      <c r="N21" s="193"/>
      <c r="O21" s="193"/>
      <c r="P21" s="193"/>
      <c r="Q21" s="204" t="e">
        <f>'Econ-Perf 2'!#REF!</f>
        <v>#REF!</v>
      </c>
      <c r="R21" s="194"/>
      <c r="S21" s="3" t="s">
        <v>644</v>
      </c>
      <c r="T21" s="227" t="e">
        <f>Q21-J21</f>
        <v>#REF!</v>
      </c>
      <c r="U21" s="38"/>
      <c r="W21" s="9"/>
      <c r="X21" s="9"/>
      <c r="Y21" s="9"/>
    </row>
    <row r="22" spans="1:25">
      <c r="A22" s="103"/>
      <c r="B22" s="22"/>
      <c r="D22" s="6"/>
      <c r="F22" s="193"/>
      <c r="G22" s="193"/>
      <c r="H22" s="193"/>
      <c r="I22" s="193"/>
      <c r="J22" s="255"/>
      <c r="K22" s="180"/>
      <c r="M22" s="193"/>
      <c r="N22" s="193"/>
      <c r="O22" s="193"/>
      <c r="P22" s="193"/>
      <c r="Q22" s="255"/>
      <c r="R22" s="29"/>
      <c r="S22" s="105"/>
      <c r="T22" s="224"/>
      <c r="U22" s="38"/>
      <c r="W22" s="9"/>
      <c r="X22" s="9"/>
      <c r="Y22" s="9"/>
    </row>
    <row r="23" spans="1:25">
      <c r="A23" s="103">
        <v>7</v>
      </c>
      <c r="B23" s="1" t="s">
        <v>541</v>
      </c>
      <c r="D23" s="38" t="s">
        <v>43</v>
      </c>
      <c r="F23" s="201" t="e">
        <f>'Econ-Perf 2'!#REF!</f>
        <v>#REF!</v>
      </c>
      <c r="G23" s="193"/>
      <c r="H23" s="193"/>
      <c r="I23" s="193"/>
      <c r="J23" s="255"/>
      <c r="K23" s="180"/>
      <c r="M23" s="201" t="e">
        <f>'Econ-Perf 2'!#REF!</f>
        <v>#REF!</v>
      </c>
      <c r="N23" s="193"/>
      <c r="O23" s="193"/>
      <c r="P23" s="193"/>
      <c r="Q23" s="255"/>
      <c r="R23" s="29"/>
      <c r="S23" s="3" t="s">
        <v>644</v>
      </c>
      <c r="T23" s="226" t="e">
        <f>M23-F23</f>
        <v>#REF!</v>
      </c>
      <c r="U23" s="200" t="s">
        <v>650</v>
      </c>
      <c r="W23" s="9"/>
      <c r="X23" s="9"/>
      <c r="Y23" s="9"/>
    </row>
    <row r="24" spans="1:25">
      <c r="A24" s="103"/>
      <c r="B24" s="22"/>
      <c r="D24" s="6"/>
      <c r="F24" s="193"/>
      <c r="G24" s="193"/>
      <c r="H24" s="207" t="e">
        <f>'Econ-Perf 2'!#REF!</f>
        <v>#REF!</v>
      </c>
      <c r="I24" s="210"/>
      <c r="J24" s="255"/>
      <c r="K24" s="180"/>
      <c r="M24" s="193"/>
      <c r="N24" s="193"/>
      <c r="O24" s="207" t="e">
        <f>'Econ-Perf 2'!#REF!</f>
        <v>#REF!</v>
      </c>
      <c r="P24" s="210"/>
      <c r="Q24" s="255"/>
      <c r="R24" s="29"/>
      <c r="S24" s="3" t="s">
        <v>644</v>
      </c>
      <c r="T24" s="223" t="e">
        <f>O24-H24</f>
        <v>#REF!</v>
      </c>
      <c r="U24" s="38" t="s">
        <v>647</v>
      </c>
      <c r="W24" s="9"/>
      <c r="X24" s="9"/>
      <c r="Y24" s="9"/>
    </row>
    <row r="25" spans="1:25">
      <c r="A25" s="103">
        <v>8</v>
      </c>
      <c r="B25" s="1" t="s">
        <v>462</v>
      </c>
      <c r="D25" s="38" t="s">
        <v>43</v>
      </c>
      <c r="F25" s="201" t="e">
        <f>'Econ-Perf 2'!#REF!</f>
        <v>#REF!</v>
      </c>
      <c r="G25" s="193"/>
      <c r="H25" s="193"/>
      <c r="I25" s="193"/>
      <c r="J25" s="255"/>
      <c r="K25" s="180"/>
      <c r="M25" s="201" t="e">
        <f>'Econ-Perf 2'!#REF!</f>
        <v>#REF!</v>
      </c>
      <c r="N25" s="193"/>
      <c r="O25" s="193"/>
      <c r="P25" s="193"/>
      <c r="Q25" s="255"/>
      <c r="R25" s="29"/>
      <c r="S25" s="3" t="s">
        <v>644</v>
      </c>
      <c r="T25" s="226" t="e">
        <f>M25-F25</f>
        <v>#REF!</v>
      </c>
      <c r="U25" s="200" t="s">
        <v>650</v>
      </c>
      <c r="V25" s="170"/>
      <c r="W25" s="9"/>
      <c r="X25" s="9"/>
      <c r="Y25" s="9"/>
    </row>
    <row r="26" spans="1:25">
      <c r="A26" s="103"/>
      <c r="B26" s="22"/>
      <c r="D26" s="6"/>
      <c r="F26" s="193"/>
      <c r="G26" s="193"/>
      <c r="H26" s="207" t="e">
        <f>'Econ-Perf 2'!#REF!</f>
        <v>#REF!</v>
      </c>
      <c r="I26" s="210"/>
      <c r="J26" s="255"/>
      <c r="K26" s="180"/>
      <c r="M26" s="193"/>
      <c r="N26" s="193"/>
      <c r="O26" s="207" t="e">
        <f>'Econ-Perf 2'!#REF!</f>
        <v>#REF!</v>
      </c>
      <c r="P26" s="210"/>
      <c r="Q26" s="255"/>
      <c r="R26" s="29"/>
      <c r="S26" s="3"/>
      <c r="T26" s="223" t="e">
        <f>O26-H26</f>
        <v>#REF!</v>
      </c>
      <c r="U26" s="38" t="s">
        <v>647</v>
      </c>
      <c r="W26" s="9"/>
      <c r="X26" s="9"/>
      <c r="Y26" s="9"/>
    </row>
    <row r="27" spans="1:25">
      <c r="A27" s="103">
        <v>9</v>
      </c>
      <c r="B27" s="1" t="s">
        <v>461</v>
      </c>
      <c r="C27" s="9"/>
      <c r="D27" s="38" t="s">
        <v>43</v>
      </c>
      <c r="F27" s="201" t="e">
        <f>'Econ-Perf 2'!#REF!</f>
        <v>#REF!</v>
      </c>
      <c r="G27" s="193"/>
      <c r="H27" s="193"/>
      <c r="I27" s="193"/>
      <c r="J27" s="255"/>
      <c r="K27" s="180"/>
      <c r="M27" s="201" t="e">
        <f>'Econ-Perf 2'!#REF!</f>
        <v>#REF!</v>
      </c>
      <c r="N27" s="193"/>
      <c r="O27" s="193"/>
      <c r="P27" s="193"/>
      <c r="Q27" s="255"/>
      <c r="R27" s="29"/>
      <c r="S27" s="3" t="s">
        <v>644</v>
      </c>
      <c r="T27" s="226" t="e">
        <f>M27-F27</f>
        <v>#REF!</v>
      </c>
      <c r="U27" s="200" t="s">
        <v>650</v>
      </c>
      <c r="W27" s="9"/>
      <c r="X27" s="9"/>
      <c r="Y27" s="9"/>
    </row>
    <row r="28" spans="1:25">
      <c r="A28" s="103"/>
      <c r="B28" s="22"/>
      <c r="C28" s="9"/>
      <c r="D28" s="6"/>
      <c r="F28" s="193"/>
      <c r="G28" s="193"/>
      <c r="H28" s="207" t="e">
        <f>'Econ-Perf 2'!#REF!</f>
        <v>#REF!</v>
      </c>
      <c r="I28" s="210"/>
      <c r="J28" s="255"/>
      <c r="K28" s="180"/>
      <c r="M28" s="193"/>
      <c r="N28" s="193"/>
      <c r="O28" s="207" t="e">
        <f>'Econ-Perf 2'!#REF!</f>
        <v>#REF!</v>
      </c>
      <c r="P28" s="210"/>
      <c r="Q28" s="255"/>
      <c r="R28" s="29"/>
      <c r="S28" s="3" t="s">
        <v>644</v>
      </c>
      <c r="T28" s="223" t="e">
        <f>O28-H28</f>
        <v>#REF!</v>
      </c>
      <c r="U28" s="38" t="s">
        <v>647</v>
      </c>
      <c r="W28" s="9"/>
      <c r="X28" s="9"/>
      <c r="Y28" s="9"/>
    </row>
    <row r="29" spans="1:25">
      <c r="A29" s="103">
        <v>10</v>
      </c>
      <c r="B29" s="1" t="s">
        <v>458</v>
      </c>
      <c r="C29" s="9"/>
      <c r="D29" s="38" t="s">
        <v>43</v>
      </c>
      <c r="F29" s="201" t="e">
        <f>#REF!/'15-per Store 16-17'!F5</f>
        <v>#REF!</v>
      </c>
      <c r="G29" s="193"/>
      <c r="H29" s="193"/>
      <c r="I29" s="193"/>
      <c r="J29" s="120"/>
      <c r="K29" s="213"/>
      <c r="M29" s="201" t="e">
        <f>#REF!/'15-per Store 16-17'!M5</f>
        <v>#REF!</v>
      </c>
      <c r="N29" s="193"/>
      <c r="O29" s="193"/>
      <c r="P29" s="193"/>
      <c r="Q29" s="120"/>
      <c r="R29" s="194"/>
      <c r="S29" s="3" t="s">
        <v>644</v>
      </c>
      <c r="T29" s="226" t="e">
        <f>M29-F29</f>
        <v>#REF!</v>
      </c>
      <c r="U29" s="200" t="s">
        <v>650</v>
      </c>
      <c r="W29" s="9"/>
      <c r="X29" s="9"/>
      <c r="Y29" s="9"/>
    </row>
    <row r="30" spans="1:25">
      <c r="A30" s="103"/>
      <c r="B30" s="1"/>
      <c r="C30" s="9"/>
      <c r="D30" s="6"/>
      <c r="F30" s="193"/>
      <c r="G30" s="193"/>
      <c r="H30" s="193"/>
      <c r="I30" s="193"/>
      <c r="J30" s="120"/>
      <c r="K30" s="214"/>
      <c r="M30" s="193"/>
      <c r="N30" s="193"/>
      <c r="O30" s="193"/>
      <c r="P30" s="193"/>
      <c r="Q30" s="120"/>
      <c r="R30" s="120"/>
      <c r="S30" s="3"/>
      <c r="T30" s="224"/>
      <c r="U30" s="38"/>
      <c r="W30" s="9"/>
      <c r="X30" s="9"/>
      <c r="Y30" s="9"/>
    </row>
    <row r="31" spans="1:25">
      <c r="A31" s="103">
        <v>11</v>
      </c>
      <c r="B31" s="1" t="s">
        <v>595</v>
      </c>
      <c r="D31" s="38" t="s">
        <v>43</v>
      </c>
      <c r="F31" s="201">
        <f>'Mark-Expect'!R50</f>
        <v>0</v>
      </c>
      <c r="G31" s="193"/>
      <c r="H31" s="193"/>
      <c r="I31" s="193"/>
      <c r="J31" s="256"/>
      <c r="K31" s="182"/>
      <c r="M31" s="201" t="e">
        <f>'Mark-Expect'!S50</f>
        <v>#REF!</v>
      </c>
      <c r="N31" s="193"/>
      <c r="O31" s="193"/>
      <c r="P31" s="193"/>
      <c r="Q31" s="120"/>
      <c r="R31" s="120"/>
      <c r="S31" s="3" t="s">
        <v>644</v>
      </c>
      <c r="T31" s="226" t="e">
        <f>M31-F31</f>
        <v>#REF!</v>
      </c>
      <c r="U31" s="200" t="s">
        <v>650</v>
      </c>
      <c r="W31" s="9"/>
      <c r="X31" s="33"/>
      <c r="Y31" s="9"/>
    </row>
    <row r="32" spans="1:25">
      <c r="A32" s="103"/>
      <c r="B32" s="1"/>
      <c r="D32" s="38"/>
      <c r="F32" s="193"/>
      <c r="G32" s="193"/>
      <c r="H32" s="193"/>
      <c r="I32" s="193"/>
      <c r="J32" s="204" t="e">
        <f>F31/$F$43</f>
        <v>#DIV/0!</v>
      </c>
      <c r="K32" s="183"/>
      <c r="M32" s="193"/>
      <c r="N32" s="193"/>
      <c r="O32" s="193"/>
      <c r="P32" s="193"/>
      <c r="Q32" s="204" t="e">
        <f>M31/$M$43</f>
        <v>#REF!</v>
      </c>
      <c r="R32" s="163"/>
      <c r="S32" s="3"/>
      <c r="T32" s="228" t="e">
        <f>Q32-J32</f>
        <v>#REF!</v>
      </c>
      <c r="U32" s="200"/>
      <c r="W32" s="9"/>
      <c r="X32" s="33"/>
      <c r="Y32" s="9"/>
    </row>
    <row r="33" spans="1:25">
      <c r="A33" s="103">
        <v>12</v>
      </c>
      <c r="B33" s="1" t="s">
        <v>596</v>
      </c>
      <c r="D33" s="38" t="s">
        <v>43</v>
      </c>
      <c r="F33" s="201">
        <f>'Mark-Expect'!R51</f>
        <v>0</v>
      </c>
      <c r="G33" s="193"/>
      <c r="H33" s="193"/>
      <c r="I33" s="193"/>
      <c r="J33" s="120"/>
      <c r="K33" s="183"/>
      <c r="M33" s="201" t="e">
        <f>'Mark-Expect'!S51</f>
        <v>#REF!</v>
      </c>
      <c r="N33" s="193"/>
      <c r="O33" s="193"/>
      <c r="P33" s="193"/>
      <c r="Q33" s="120"/>
      <c r="R33" s="163"/>
      <c r="S33" s="3" t="s">
        <v>644</v>
      </c>
      <c r="T33" s="226" t="e">
        <f>M33-F33</f>
        <v>#REF!</v>
      </c>
      <c r="U33" s="200" t="s">
        <v>650</v>
      </c>
      <c r="W33" s="9"/>
      <c r="X33" s="33"/>
      <c r="Y33" s="9"/>
    </row>
    <row r="34" spans="1:25">
      <c r="A34" s="103"/>
      <c r="B34" s="1"/>
      <c r="D34" s="38"/>
      <c r="F34" s="193"/>
      <c r="G34" s="193"/>
      <c r="H34" s="193"/>
      <c r="I34" s="193"/>
      <c r="J34" s="204" t="e">
        <f>F33/$F$43</f>
        <v>#DIV/0!</v>
      </c>
      <c r="K34" s="183"/>
      <c r="M34" s="193"/>
      <c r="N34" s="193"/>
      <c r="O34" s="193"/>
      <c r="P34" s="193"/>
      <c r="Q34" s="204" t="e">
        <f>M33/$M$43</f>
        <v>#REF!</v>
      </c>
      <c r="R34" s="163"/>
      <c r="S34" s="3" t="s">
        <v>644</v>
      </c>
      <c r="T34" s="228" t="e">
        <f>Q34-J34</f>
        <v>#REF!</v>
      </c>
      <c r="U34" s="200"/>
      <c r="W34" s="9"/>
      <c r="X34" s="33"/>
      <c r="Y34" s="9"/>
    </row>
    <row r="35" spans="1:25">
      <c r="A35" s="103">
        <v>13</v>
      </c>
      <c r="B35" s="1" t="s">
        <v>396</v>
      </c>
      <c r="D35" s="38" t="s">
        <v>43</v>
      </c>
      <c r="F35" s="201">
        <f>'Mark-Expect'!R52</f>
        <v>0</v>
      </c>
      <c r="G35" s="193"/>
      <c r="H35" s="193"/>
      <c r="I35" s="193"/>
      <c r="J35" s="120"/>
      <c r="K35" s="183"/>
      <c r="M35" s="201" t="e">
        <f>'Mark-Expect'!S52</f>
        <v>#REF!</v>
      </c>
      <c r="N35" s="193"/>
      <c r="O35" s="193"/>
      <c r="P35" s="193"/>
      <c r="Q35" s="120"/>
      <c r="R35" s="163"/>
      <c r="S35" s="3" t="s">
        <v>644</v>
      </c>
      <c r="T35" s="226" t="e">
        <f>M35-F35</f>
        <v>#REF!</v>
      </c>
      <c r="U35" s="200" t="s">
        <v>650</v>
      </c>
      <c r="W35" s="9"/>
      <c r="X35" s="33"/>
      <c r="Y35" s="9"/>
    </row>
    <row r="36" spans="1:25">
      <c r="A36" s="103"/>
      <c r="B36" s="1"/>
      <c r="D36" s="38"/>
      <c r="F36" s="193"/>
      <c r="G36" s="193"/>
      <c r="H36" s="193"/>
      <c r="I36" s="193"/>
      <c r="J36" s="205" t="e">
        <f>F35/$F$43</f>
        <v>#DIV/0!</v>
      </c>
      <c r="K36" s="183"/>
      <c r="M36" s="193"/>
      <c r="N36" s="193"/>
      <c r="O36" s="193"/>
      <c r="P36" s="193"/>
      <c r="Q36" s="205" t="e">
        <f>M35/$M$43</f>
        <v>#REF!</v>
      </c>
      <c r="R36" s="163"/>
      <c r="S36" s="3" t="s">
        <v>644</v>
      </c>
      <c r="T36" s="228" t="e">
        <f>Q36-J36</f>
        <v>#REF!</v>
      </c>
      <c r="U36" s="200"/>
      <c r="W36" s="9"/>
      <c r="X36" s="33"/>
      <c r="Y36" s="9"/>
    </row>
    <row r="37" spans="1:25">
      <c r="A37" s="103"/>
      <c r="B37" s="1"/>
      <c r="D37" s="38"/>
      <c r="F37" s="193"/>
      <c r="G37" s="193"/>
      <c r="H37" s="193"/>
      <c r="I37" s="193"/>
      <c r="J37" s="120" t="e">
        <f>SUM(J32:J36)</f>
        <v>#DIV/0!</v>
      </c>
      <c r="K37" s="183"/>
      <c r="M37" s="193"/>
      <c r="N37" s="193"/>
      <c r="O37" s="193"/>
      <c r="P37" s="193"/>
      <c r="Q37" s="120" t="e">
        <f>SUM(Q32:Q36)</f>
        <v>#REF!</v>
      </c>
      <c r="R37" s="163"/>
      <c r="S37" s="3"/>
      <c r="T37" s="259"/>
      <c r="U37" s="200"/>
      <c r="W37" s="9"/>
      <c r="X37" s="33"/>
      <c r="Y37" s="9"/>
    </row>
    <row r="38" spans="1:25">
      <c r="A38" s="103"/>
      <c r="B38" s="13"/>
      <c r="C38" s="4"/>
      <c r="D38" s="254"/>
      <c r="E38" s="4"/>
      <c r="F38" s="267"/>
      <c r="G38" s="267"/>
      <c r="H38" s="267"/>
      <c r="I38" s="267"/>
      <c r="J38" s="268"/>
      <c r="K38" s="269"/>
      <c r="L38" s="4"/>
      <c r="M38" s="267"/>
      <c r="N38" s="267"/>
      <c r="O38" s="267"/>
      <c r="P38" s="267"/>
      <c r="Q38" s="268"/>
      <c r="R38" s="270"/>
      <c r="S38" s="32"/>
      <c r="T38" s="271"/>
      <c r="U38" s="200"/>
      <c r="W38" s="9"/>
      <c r="X38" s="33"/>
      <c r="Y38" s="9"/>
    </row>
    <row r="39" spans="1:25">
      <c r="A39" s="103">
        <v>14</v>
      </c>
      <c r="B39" s="1" t="s">
        <v>654</v>
      </c>
      <c r="C39" s="9"/>
      <c r="D39" s="6"/>
      <c r="F39" s="193"/>
      <c r="G39" s="193"/>
      <c r="H39" s="193"/>
      <c r="I39" s="193"/>
      <c r="J39" s="204" t="e">
        <f>'Econ-Perf 2'!#REF!</f>
        <v>#REF!</v>
      </c>
      <c r="K39" s="214"/>
      <c r="M39" s="193"/>
      <c r="N39" s="193"/>
      <c r="O39" s="193"/>
      <c r="P39" s="193"/>
      <c r="Q39" s="204" t="e">
        <f>'Econ-Perf 2'!#REF!</f>
        <v>#REF!</v>
      </c>
      <c r="R39" s="120"/>
      <c r="S39" s="3" t="s">
        <v>644</v>
      </c>
      <c r="T39" s="228" t="e">
        <f>Q39-J39</f>
        <v>#REF!</v>
      </c>
      <c r="U39" s="38"/>
      <c r="W39" s="9"/>
      <c r="X39" s="33"/>
      <c r="Y39" s="9"/>
    </row>
    <row r="40" spans="1:25">
      <c r="A40" s="103">
        <v>15</v>
      </c>
      <c r="B40" s="1" t="s">
        <v>434</v>
      </c>
      <c r="C40" s="9"/>
      <c r="D40" s="6"/>
      <c r="F40" s="193"/>
      <c r="G40" s="193"/>
      <c r="H40" s="193"/>
      <c r="I40" s="193"/>
      <c r="J40" s="205" t="e">
        <f>'Econ-Perf 2'!#REF!</f>
        <v>#REF!</v>
      </c>
      <c r="K40" s="214"/>
      <c r="M40" s="193"/>
      <c r="N40" s="193"/>
      <c r="O40" s="193"/>
      <c r="P40" s="193"/>
      <c r="Q40" s="205" t="e">
        <f>'Econ-Perf 2'!#REF!</f>
        <v>#REF!</v>
      </c>
      <c r="R40" s="120"/>
      <c r="S40" s="3"/>
      <c r="T40" s="229" t="e">
        <f>Q40-J40</f>
        <v>#REF!</v>
      </c>
      <c r="U40" s="38"/>
      <c r="W40" s="9"/>
      <c r="X40" s="33"/>
      <c r="Y40" s="9"/>
    </row>
    <row r="41" spans="1:25">
      <c r="A41" s="103">
        <v>16</v>
      </c>
      <c r="B41" s="13" t="s">
        <v>556</v>
      </c>
      <c r="C41" s="10"/>
      <c r="D41" s="80"/>
      <c r="E41" s="4"/>
      <c r="F41" s="267"/>
      <c r="G41" s="267"/>
      <c r="H41" s="267"/>
      <c r="I41" s="267"/>
      <c r="J41" s="205" t="e">
        <f>J39-J40</f>
        <v>#REF!</v>
      </c>
      <c r="K41" s="272"/>
      <c r="L41" s="4"/>
      <c r="M41" s="267"/>
      <c r="N41" s="267"/>
      <c r="O41" s="267"/>
      <c r="P41" s="267"/>
      <c r="Q41" s="205" t="e">
        <f>Q39-Q40</f>
        <v>#REF!</v>
      </c>
      <c r="R41" s="268"/>
      <c r="S41" s="32" t="s">
        <v>644</v>
      </c>
      <c r="T41" s="229" t="e">
        <f>Q41-J41</f>
        <v>#REF!</v>
      </c>
      <c r="U41" s="38"/>
      <c r="W41" s="9"/>
      <c r="X41" s="33"/>
      <c r="Y41" s="9"/>
    </row>
    <row r="42" spans="1:25">
      <c r="A42" s="103"/>
      <c r="B42" s="1"/>
      <c r="D42" s="38"/>
      <c r="F42" s="193"/>
      <c r="G42" s="193"/>
      <c r="H42" s="193"/>
      <c r="I42" s="193"/>
      <c r="J42" s="120"/>
      <c r="K42" s="183"/>
      <c r="M42" s="193"/>
      <c r="N42" s="193"/>
      <c r="O42" s="193"/>
      <c r="P42" s="193"/>
      <c r="Q42" s="120"/>
      <c r="R42" s="163"/>
      <c r="S42" s="3"/>
      <c r="T42" s="259"/>
      <c r="U42" s="200"/>
      <c r="W42" s="9"/>
      <c r="X42" s="33"/>
      <c r="Y42" s="9"/>
    </row>
    <row r="43" spans="1:25">
      <c r="A43" s="103">
        <v>17</v>
      </c>
      <c r="B43" s="40" t="s">
        <v>655</v>
      </c>
      <c r="D43" s="38" t="s">
        <v>43</v>
      </c>
      <c r="F43" s="201">
        <f>SUM(F31:F35)</f>
        <v>0</v>
      </c>
      <c r="G43" s="193"/>
      <c r="H43" s="193"/>
      <c r="I43" s="193"/>
      <c r="K43" s="183"/>
      <c r="M43" s="201" t="e">
        <f>SUM(M31:M35)</f>
        <v>#REF!</v>
      </c>
      <c r="N43" s="193"/>
      <c r="O43" s="193"/>
      <c r="P43" s="193"/>
      <c r="R43" s="163"/>
      <c r="S43" s="3"/>
      <c r="T43" s="226" t="e">
        <f>M43-F43</f>
        <v>#REF!</v>
      </c>
      <c r="U43" s="200" t="s">
        <v>650</v>
      </c>
      <c r="W43" s="9"/>
      <c r="X43" s="33"/>
      <c r="Y43" s="9"/>
    </row>
    <row r="44" spans="1:25">
      <c r="A44" s="103"/>
      <c r="B44" s="1"/>
      <c r="E44" s="9"/>
      <c r="F44" s="29"/>
      <c r="G44" s="29"/>
      <c r="H44" s="193"/>
      <c r="I44" s="193"/>
      <c r="J44" s="255"/>
      <c r="K44" s="180"/>
      <c r="M44" s="29"/>
      <c r="N44" s="29"/>
      <c r="O44" s="193"/>
      <c r="P44" s="193"/>
      <c r="Q44" s="255"/>
      <c r="R44" s="29"/>
      <c r="S44" s="3"/>
      <c r="T44" s="224"/>
      <c r="U44" s="38"/>
      <c r="W44" s="9"/>
      <c r="X44" s="9"/>
      <c r="Y44" s="9"/>
    </row>
    <row r="45" spans="1:25">
      <c r="A45" s="103">
        <v>18</v>
      </c>
      <c r="B45" s="1" t="s">
        <v>656</v>
      </c>
      <c r="D45" s="38" t="s">
        <v>491</v>
      </c>
      <c r="E45" s="9"/>
      <c r="F45" s="203" t="e">
        <f>F43/F35</f>
        <v>#DIV/0!</v>
      </c>
      <c r="G45" s="175"/>
      <c r="H45" s="273" t="s">
        <v>657</v>
      </c>
      <c r="I45" s="193"/>
      <c r="J45" s="255"/>
      <c r="K45" s="180"/>
      <c r="M45" s="203" t="e">
        <f>M43/M35</f>
        <v>#REF!</v>
      </c>
      <c r="N45" s="175"/>
      <c r="O45" s="273" t="s">
        <v>657</v>
      </c>
      <c r="P45" s="193"/>
      <c r="Q45" s="255"/>
      <c r="R45" s="29"/>
      <c r="S45" s="3"/>
      <c r="T45" s="258" t="e">
        <f>M45-F45</f>
        <v>#REF!</v>
      </c>
      <c r="U45" s="38" t="s">
        <v>657</v>
      </c>
      <c r="W45" s="9"/>
      <c r="X45" s="9"/>
      <c r="Y45" s="9"/>
    </row>
    <row r="46" spans="1:25">
      <c r="A46" s="103"/>
      <c r="B46" s="1"/>
      <c r="D46" s="38"/>
      <c r="E46" s="9"/>
      <c r="F46" s="52"/>
      <c r="G46" s="52"/>
      <c r="H46" s="9"/>
      <c r="I46" s="9"/>
      <c r="J46" s="9"/>
      <c r="K46" s="178"/>
      <c r="M46" s="52"/>
      <c r="N46" s="52"/>
      <c r="O46" s="9"/>
      <c r="P46" s="9"/>
      <c r="Q46" s="9"/>
      <c r="R46" s="9"/>
      <c r="S46" s="3"/>
      <c r="T46" s="195"/>
      <c r="U46" s="38"/>
      <c r="W46" s="9"/>
      <c r="X46" s="9"/>
      <c r="Y46" s="9"/>
    </row>
    <row r="47" spans="1:25" ht="15.75">
      <c r="A47" s="103">
        <v>19</v>
      </c>
      <c r="B47" s="1" t="s">
        <v>658</v>
      </c>
      <c r="D47" s="38"/>
      <c r="E47" s="9"/>
      <c r="F47" s="52"/>
      <c r="G47" s="52"/>
      <c r="H47" s="234">
        <v>2015</v>
      </c>
      <c r="I47" s="29"/>
      <c r="J47" s="209" t="e">
        <f>#REF!</f>
        <v>#REF!</v>
      </c>
      <c r="K47" s="215"/>
      <c r="L47" s="1"/>
      <c r="M47" s="175"/>
      <c r="N47" s="175"/>
      <c r="O47" s="234">
        <v>2016</v>
      </c>
      <c r="P47" s="29"/>
      <c r="Q47" s="209" t="e">
        <f>#REF!</f>
        <v>#REF!</v>
      </c>
      <c r="R47" s="208"/>
      <c r="S47" s="3"/>
      <c r="T47" s="230" t="e">
        <f>Q47-J47</f>
        <v>#REF!</v>
      </c>
      <c r="U47" s="38" t="s">
        <v>659</v>
      </c>
      <c r="W47" s="9"/>
      <c r="X47" s="9"/>
      <c r="Y47" s="9"/>
    </row>
    <row r="48" spans="1:25">
      <c r="A48" s="103"/>
      <c r="B48" s="1"/>
      <c r="D48" s="38"/>
      <c r="E48" s="9"/>
      <c r="F48" s="52"/>
      <c r="G48" s="52"/>
      <c r="H48" s="29"/>
      <c r="I48" s="29"/>
      <c r="J48" s="208"/>
      <c r="K48" s="208"/>
      <c r="L48" s="1"/>
      <c r="M48" s="175"/>
      <c r="N48" s="175"/>
      <c r="O48" s="29"/>
      <c r="P48" s="29"/>
      <c r="Q48" s="208"/>
      <c r="R48" s="208"/>
      <c r="S48" s="3"/>
      <c r="T48" s="174"/>
      <c r="U48" s="38"/>
      <c r="W48" s="9"/>
      <c r="X48" s="9"/>
      <c r="Y48" s="9"/>
    </row>
    <row r="49" spans="1:32">
      <c r="A49" s="104"/>
      <c r="B49" s="4"/>
      <c r="C49" s="10"/>
      <c r="D49" s="10"/>
      <c r="E49" s="10"/>
      <c r="F49" s="10"/>
      <c r="G49" s="10"/>
      <c r="H49" s="10"/>
      <c r="I49" s="10"/>
      <c r="J49" s="10"/>
      <c r="K49" s="10"/>
      <c r="L49" s="4"/>
      <c r="M49" s="4" t="s">
        <v>660</v>
      </c>
      <c r="N49" s="4"/>
      <c r="O49" s="248">
        <v>42766</v>
      </c>
      <c r="P49" s="248"/>
      <c r="Q49" s="441" t="e">
        <f>'Mark-Expect'!T26</f>
        <v>#REF!</v>
      </c>
      <c r="R49" s="216" t="s">
        <v>661</v>
      </c>
      <c r="S49" s="4"/>
      <c r="T49" s="240" t="e">
        <f>Q49-Q47</f>
        <v>#REF!</v>
      </c>
      <c r="U49" s="80"/>
      <c r="V49" s="100"/>
      <c r="W49" s="9"/>
      <c r="X49" s="9"/>
      <c r="Y49" s="9"/>
    </row>
    <row r="50" spans="1:32">
      <c r="F50" s="9"/>
      <c r="G50" s="9"/>
      <c r="H50" s="9"/>
      <c r="I50" s="9"/>
      <c r="J50" s="9"/>
      <c r="K50" s="9"/>
      <c r="L50" s="9"/>
      <c r="M50" s="9"/>
      <c r="N50" s="9"/>
    </row>
    <row r="51" spans="1:32">
      <c r="L51" s="9"/>
      <c r="M51" s="442" t="s">
        <v>662</v>
      </c>
      <c r="N51" s="443"/>
      <c r="O51" s="444" t="e">
        <f>#REF!</f>
        <v>#REF!</v>
      </c>
      <c r="P51" s="443"/>
      <c r="Q51" s="447" t="e">
        <f>#REF!</f>
        <v>#REF!</v>
      </c>
      <c r="R51" s="31"/>
      <c r="S51" s="445"/>
      <c r="T51" s="446"/>
    </row>
    <row r="52" spans="1:32">
      <c r="F52" s="14"/>
      <c r="G52" s="14"/>
      <c r="L52" s="9"/>
      <c r="M52" s="9"/>
      <c r="N52" s="9"/>
      <c r="AC52" s="3" t="s">
        <v>663</v>
      </c>
      <c r="AD52" s="3" t="s">
        <v>664</v>
      </c>
      <c r="AE52" s="3" t="s">
        <v>665</v>
      </c>
      <c r="AF52" s="3" t="s">
        <v>664</v>
      </c>
    </row>
    <row r="53" spans="1:32">
      <c r="L53" s="9"/>
      <c r="M53" s="9"/>
      <c r="N53" s="9"/>
      <c r="AC53" s="119">
        <v>2015</v>
      </c>
      <c r="AD53" s="118">
        <v>2015</v>
      </c>
      <c r="AE53" s="119">
        <v>2016</v>
      </c>
      <c r="AF53" s="118">
        <v>2015</v>
      </c>
    </row>
    <row r="54" spans="1:32">
      <c r="L54" s="9"/>
      <c r="M54" s="9"/>
      <c r="N54" s="9"/>
      <c r="AC54" s="89" t="s">
        <v>666</v>
      </c>
      <c r="AD54" s="90" t="s">
        <v>667</v>
      </c>
      <c r="AE54" s="89" t="s">
        <v>666</v>
      </c>
      <c r="AF54" s="90" t="s">
        <v>667</v>
      </c>
    </row>
    <row r="55" spans="1:32">
      <c r="L55" s="9"/>
      <c r="M55" s="9"/>
      <c r="N55" s="9"/>
      <c r="AB55" s="102" t="s">
        <v>668</v>
      </c>
      <c r="AC55" s="91" t="e">
        <f>F5</f>
        <v>#REF!</v>
      </c>
      <c r="AD55" s="92">
        <v>91</v>
      </c>
      <c r="AE55" s="91" t="e">
        <f>M5</f>
        <v>#REF!</v>
      </c>
      <c r="AF55" s="92">
        <v>91</v>
      </c>
    </row>
    <row r="56" spans="1:32">
      <c r="L56" s="9"/>
      <c r="M56" s="9"/>
      <c r="N56" s="9"/>
      <c r="AB56" s="102" t="s">
        <v>599</v>
      </c>
      <c r="AC56" s="93" t="e">
        <f>#REF!/AC55</f>
        <v>#REF!</v>
      </c>
      <c r="AD56" s="94" t="e">
        <f>#REF!/AD55</f>
        <v>#REF!</v>
      </c>
      <c r="AE56" s="93" t="e">
        <f>#REF!/AE55</f>
        <v>#REF!</v>
      </c>
      <c r="AF56" s="94" t="e">
        <f>#REF!/AF55</f>
        <v>#REF!</v>
      </c>
    </row>
    <row r="57" spans="1:32">
      <c r="L57" s="9"/>
      <c r="M57" s="9"/>
      <c r="N57" s="9"/>
      <c r="AB57" s="102"/>
      <c r="AC57" s="95"/>
      <c r="AD57" s="95"/>
      <c r="AE57" s="95"/>
      <c r="AF57" s="95"/>
    </row>
    <row r="58" spans="1:32">
      <c r="L58" s="9"/>
      <c r="M58" s="9"/>
      <c r="N58" s="9"/>
      <c r="AB58" s="102" t="s">
        <v>669</v>
      </c>
      <c r="AC58" s="97" t="e">
        <f>F5*F11</f>
        <v>#REF!</v>
      </c>
      <c r="AD58" s="94">
        <v>1665233</v>
      </c>
      <c r="AE58" s="97" t="e">
        <f>M5*M11</f>
        <v>#REF!</v>
      </c>
      <c r="AF58" s="94">
        <v>1665233</v>
      </c>
    </row>
    <row r="59" spans="1:32">
      <c r="AC59" s="1"/>
      <c r="AD59" s="1"/>
      <c r="AE59" s="1"/>
      <c r="AF59" s="1"/>
    </row>
    <row r="60" spans="1:32">
      <c r="J60">
        <v>7</v>
      </c>
      <c r="AB60" s="102" t="s">
        <v>599</v>
      </c>
      <c r="AC60" s="97" t="e">
        <f>AC58/AC55</f>
        <v>#REF!</v>
      </c>
      <c r="AD60" s="94">
        <f>AD58/AD55</f>
        <v>18299.263736263736</v>
      </c>
      <c r="AE60" s="97" t="e">
        <f>AE58/AE55</f>
        <v>#REF!</v>
      </c>
      <c r="AF60" s="94">
        <f>AF58/AF55</f>
        <v>18299.263736263736</v>
      </c>
    </row>
    <row r="61" spans="1:32">
      <c r="AC61" s="1"/>
      <c r="AD61" s="1"/>
      <c r="AE61" s="1"/>
      <c r="AF61" s="1"/>
    </row>
    <row r="62" spans="1:32">
      <c r="AB62" s="102" t="s">
        <v>670</v>
      </c>
      <c r="AC62" s="98" t="e">
        <f>AC58/#REF!*1000</f>
        <v>#REF!</v>
      </c>
      <c r="AD62" s="96" t="e">
        <f>AD58/#REF!*1000</f>
        <v>#REF!</v>
      </c>
      <c r="AE62" s="98" t="e">
        <f>AE58/#REF!*1000</f>
        <v>#REF!</v>
      </c>
      <c r="AF62" s="96" t="e">
        <f>AF58/#REF!*1000</f>
        <v>#REF!</v>
      </c>
    </row>
    <row r="63" spans="1:32">
      <c r="AB63" s="9"/>
      <c r="AC63" s="9"/>
      <c r="AD63" s="9"/>
    </row>
  </sheetData>
  <customSheetViews>
    <customSheetView guid="{5826E3E6-173D-429F-ABE1-D868EE9E034B}" scale="98" showGridLines="0" fitToPage="1" topLeftCell="I1">
      <selection activeCell="I22" sqref="I22"/>
      <pageMargins left="0" right="0" top="0" bottom="0" header="0" footer="0"/>
      <pageSetup paperSize="9" scale="80" orientation="landscape" horizontalDpi="0" verticalDpi="0" r:id="rId1"/>
    </customSheetView>
  </customSheetViews>
  <mergeCells count="6">
    <mergeCell ref="B7:C7"/>
    <mergeCell ref="M3:Q3"/>
    <mergeCell ref="F3:J3"/>
    <mergeCell ref="K3:L3"/>
    <mergeCell ref="A1:B1"/>
    <mergeCell ref="C2:D2"/>
  </mergeCells>
  <pageMargins left="0.70866141732283461" right="0.70866141732283461" top="0.74803149606299213" bottom="0.74803149606299213" header="0.31496062992125984" footer="0.31496062992125984"/>
  <pageSetup paperSize="9" scale="70" orientation="landscape"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30C5-9970-4B35-A480-27351FA88828}">
  <sheetPr>
    <pageSetUpPr fitToPage="1"/>
  </sheetPr>
  <dimension ref="A1:AB118"/>
  <sheetViews>
    <sheetView workbookViewId="0"/>
  </sheetViews>
  <sheetFormatPr defaultRowHeight="12.75"/>
  <cols>
    <col min="2" max="2" width="5" customWidth="1"/>
    <col min="3" max="3" width="5.7109375" customWidth="1"/>
    <col min="6" max="27" width="8" customWidth="1"/>
  </cols>
  <sheetData>
    <row r="1" spans="1:28">
      <c r="A1" s="1" t="s">
        <v>678</v>
      </c>
      <c r="F1" s="980">
        <v>1999</v>
      </c>
      <c r="G1" s="980">
        <f t="shared" ref="G1:AB1" si="0">F1+1</f>
        <v>2000</v>
      </c>
      <c r="H1" s="980">
        <f t="shared" si="0"/>
        <v>2001</v>
      </c>
      <c r="I1" s="980">
        <f t="shared" si="0"/>
        <v>2002</v>
      </c>
      <c r="J1" s="980">
        <f t="shared" si="0"/>
        <v>2003</v>
      </c>
      <c r="K1" s="980">
        <f t="shared" si="0"/>
        <v>2004</v>
      </c>
      <c r="L1" s="980">
        <f t="shared" si="0"/>
        <v>2005</v>
      </c>
      <c r="M1" s="980">
        <f t="shared" si="0"/>
        <v>2006</v>
      </c>
      <c r="N1" s="980">
        <v>2007</v>
      </c>
      <c r="O1" s="980">
        <f t="shared" si="0"/>
        <v>2008</v>
      </c>
      <c r="P1" s="980">
        <f t="shared" si="0"/>
        <v>2009</v>
      </c>
      <c r="Q1" s="980">
        <f t="shared" si="0"/>
        <v>2010</v>
      </c>
      <c r="R1" s="980">
        <f t="shared" si="0"/>
        <v>2011</v>
      </c>
      <c r="S1" s="980">
        <f t="shared" si="0"/>
        <v>2012</v>
      </c>
      <c r="T1" s="980">
        <f t="shared" si="0"/>
        <v>2013</v>
      </c>
      <c r="U1" s="980">
        <f t="shared" si="0"/>
        <v>2014</v>
      </c>
      <c r="V1" s="980">
        <f t="shared" si="0"/>
        <v>2015</v>
      </c>
      <c r="W1" s="980">
        <f t="shared" si="0"/>
        <v>2016</v>
      </c>
      <c r="X1" s="980">
        <f t="shared" si="0"/>
        <v>2017</v>
      </c>
      <c r="Y1" s="980">
        <f t="shared" si="0"/>
        <v>2018</v>
      </c>
      <c r="Z1" s="980">
        <f t="shared" si="0"/>
        <v>2019</v>
      </c>
      <c r="AA1" s="980">
        <f t="shared" si="0"/>
        <v>2020</v>
      </c>
      <c r="AB1" s="980">
        <f t="shared" si="0"/>
        <v>2021</v>
      </c>
    </row>
    <row r="2" spans="1:28">
      <c r="A2" s="34">
        <v>100</v>
      </c>
      <c r="B2" s="969" t="s">
        <v>679</v>
      </c>
      <c r="C2" s="632"/>
      <c r="D2" s="975" t="s">
        <v>680</v>
      </c>
      <c r="E2" s="34"/>
      <c r="F2" s="604"/>
      <c r="G2" s="604"/>
      <c r="H2" s="604"/>
      <c r="I2" s="604"/>
      <c r="J2" s="604"/>
      <c r="K2" s="693"/>
      <c r="L2" s="693"/>
      <c r="M2" s="693"/>
      <c r="N2" s="693"/>
      <c r="O2" s="693"/>
      <c r="P2" s="693"/>
      <c r="Q2" s="693"/>
      <c r="R2" s="693"/>
      <c r="S2" s="604"/>
      <c r="T2" s="604"/>
      <c r="U2" s="604"/>
      <c r="V2" s="604"/>
      <c r="W2" s="604"/>
      <c r="X2" s="604"/>
      <c r="Y2" s="604"/>
      <c r="Z2" s="604"/>
      <c r="AA2" s="604"/>
    </row>
    <row r="3" spans="1:28">
      <c r="A3" s="34"/>
      <c r="B3" s="632"/>
      <c r="C3" s="34" t="s">
        <v>681</v>
      </c>
      <c r="D3" s="34" t="s">
        <v>75</v>
      </c>
      <c r="E3" s="34"/>
      <c r="F3" s="694" t="e">
        <f>'8_Data Adjust'!#REF!</f>
        <v>#REF!</v>
      </c>
      <c r="G3" s="694" t="e">
        <f>'8_Data Adjust'!#REF!</f>
        <v>#REF!</v>
      </c>
      <c r="H3" s="694" t="e">
        <f>'8_Data Adjust'!#REF!</f>
        <v>#REF!</v>
      </c>
      <c r="I3" s="694" t="e">
        <f>'8_Data Adjust'!#REF!</f>
        <v>#REF!</v>
      </c>
      <c r="J3" s="694" t="e">
        <f>'8_Data Adjust'!#REF!</f>
        <v>#REF!</v>
      </c>
      <c r="K3" s="694" t="e">
        <f>'8_Data Adjust'!#REF!</f>
        <v>#REF!</v>
      </c>
      <c r="L3" s="694" t="e">
        <f>'8_Data Adjust'!#REF!</f>
        <v>#REF!</v>
      </c>
      <c r="M3" s="694" t="e">
        <f>'8_Data Adjust'!#REF!</f>
        <v>#REF!</v>
      </c>
      <c r="N3" s="694" t="e">
        <f>'8_Data Adjust'!#REF!</f>
        <v>#REF!</v>
      </c>
      <c r="O3" s="694" t="e">
        <f>'8_Data Adjust'!#REF!</f>
        <v>#REF!</v>
      </c>
      <c r="P3" s="694" t="e">
        <f>'8_Data Adjust'!#REF!</f>
        <v>#REF!</v>
      </c>
      <c r="Q3" s="694" t="e">
        <f>'8_Data Adjust'!#REF!</f>
        <v>#REF!</v>
      </c>
      <c r="R3" s="694" t="e">
        <f>'8_Data Adjust'!#REF!</f>
        <v>#REF!</v>
      </c>
      <c r="S3" s="694" t="e">
        <f>'8_Data Adjust'!#REF!</f>
        <v>#REF!</v>
      </c>
      <c r="T3" s="694" t="e">
        <f>'8_Data Adjust'!#REF!</f>
        <v>#REF!</v>
      </c>
      <c r="U3" s="694" t="e">
        <f>'8_Data Adjust'!#REF!</f>
        <v>#REF!</v>
      </c>
      <c r="V3" s="694" t="e">
        <f>'8_Data Adjust'!#REF!</f>
        <v>#REF!</v>
      </c>
      <c r="W3" s="694" t="e">
        <f>'8_Data Adjust'!#REF!</f>
        <v>#REF!</v>
      </c>
      <c r="X3" s="694" t="e">
        <f>'8_Data Adjust'!#REF!</f>
        <v>#REF!</v>
      </c>
      <c r="Y3" s="694" t="e">
        <f>'8_Data Adjust'!#REF!</f>
        <v>#REF!</v>
      </c>
      <c r="Z3" s="694" t="e">
        <f>'8_Data Adjust'!#REF!</f>
        <v>#REF!</v>
      </c>
      <c r="AA3" s="694" t="e">
        <f>'8_Data Adjust'!#REF!</f>
        <v>#REF!</v>
      </c>
    </row>
    <row r="4" spans="1:28">
      <c r="A4" s="34"/>
      <c r="B4" s="632"/>
      <c r="C4" s="34" t="s">
        <v>682</v>
      </c>
      <c r="D4" s="34" t="s">
        <v>76</v>
      </c>
      <c r="E4" s="34"/>
      <c r="F4" s="694" t="e">
        <f>'8_Data Adjust'!#REF!</f>
        <v>#REF!</v>
      </c>
      <c r="G4" s="694" t="e">
        <f>'8_Data Adjust'!#REF!</f>
        <v>#REF!</v>
      </c>
      <c r="H4" s="694" t="e">
        <f>'8_Data Adjust'!#REF!</f>
        <v>#REF!</v>
      </c>
      <c r="I4" s="694" t="e">
        <f>'8_Data Adjust'!#REF!</f>
        <v>#REF!</v>
      </c>
      <c r="J4" s="694" t="e">
        <f>'8_Data Adjust'!#REF!</f>
        <v>#REF!</v>
      </c>
      <c r="K4" s="694" t="e">
        <f>'8_Data Adjust'!#REF!</f>
        <v>#REF!</v>
      </c>
      <c r="L4" s="694" t="e">
        <f>'8_Data Adjust'!#REF!</f>
        <v>#REF!</v>
      </c>
      <c r="M4" s="694" t="e">
        <f>'8_Data Adjust'!#REF!</f>
        <v>#REF!</v>
      </c>
      <c r="N4" s="694" t="e">
        <f>'8_Data Adjust'!#REF!</f>
        <v>#REF!</v>
      </c>
      <c r="O4" s="694" t="e">
        <f>'8_Data Adjust'!#REF!</f>
        <v>#REF!</v>
      </c>
      <c r="P4" s="694" t="e">
        <f>'8_Data Adjust'!#REF!</f>
        <v>#REF!</v>
      </c>
      <c r="Q4" s="694" t="e">
        <f>'8_Data Adjust'!#REF!</f>
        <v>#REF!</v>
      </c>
      <c r="R4" s="694" t="e">
        <f>'8_Data Adjust'!#REF!</f>
        <v>#REF!</v>
      </c>
      <c r="S4" s="694" t="e">
        <f>'8_Data Adjust'!#REF!</f>
        <v>#REF!</v>
      </c>
      <c r="T4" s="694" t="e">
        <f>'8_Data Adjust'!#REF!</f>
        <v>#REF!</v>
      </c>
      <c r="U4" s="694" t="e">
        <f>'8_Data Adjust'!#REF!</f>
        <v>#REF!</v>
      </c>
      <c r="V4" s="694" t="e">
        <f>'8_Data Adjust'!#REF!</f>
        <v>#REF!</v>
      </c>
      <c r="W4" s="694" t="e">
        <f>'8_Data Adjust'!#REF!</f>
        <v>#REF!</v>
      </c>
      <c r="X4" s="694" t="e">
        <f>'8_Data Adjust'!#REF!</f>
        <v>#REF!</v>
      </c>
      <c r="Y4" s="694" t="e">
        <f>'8_Data Adjust'!#REF!</f>
        <v>#REF!</v>
      </c>
      <c r="Z4" s="694" t="e">
        <f>'8_Data Adjust'!#REF!</f>
        <v>#REF!</v>
      </c>
      <c r="AA4" s="694" t="e">
        <f>'8_Data Adjust'!#REF!</f>
        <v>#REF!</v>
      </c>
    </row>
    <row r="5" spans="1:28">
      <c r="A5" s="34"/>
      <c r="B5" s="632"/>
      <c r="C5" s="34" t="s">
        <v>683</v>
      </c>
      <c r="D5" s="34" t="s">
        <v>77</v>
      </c>
      <c r="E5" s="34"/>
      <c r="F5" s="694" t="e">
        <f>'8_Data Adjust'!#REF!</f>
        <v>#REF!</v>
      </c>
      <c r="G5" s="694" t="e">
        <f>'8_Data Adjust'!#REF!</f>
        <v>#REF!</v>
      </c>
      <c r="H5" s="694" t="e">
        <f>'8_Data Adjust'!#REF!</f>
        <v>#REF!</v>
      </c>
      <c r="I5" s="694" t="e">
        <f>'8_Data Adjust'!#REF!</f>
        <v>#REF!</v>
      </c>
      <c r="J5" s="694" t="e">
        <f>'8_Data Adjust'!#REF!</f>
        <v>#REF!</v>
      </c>
      <c r="K5" s="694" t="e">
        <f>'8_Data Adjust'!#REF!</f>
        <v>#REF!</v>
      </c>
      <c r="L5" s="694" t="e">
        <f>'8_Data Adjust'!#REF!</f>
        <v>#REF!</v>
      </c>
      <c r="M5" s="694" t="e">
        <f>'8_Data Adjust'!#REF!</f>
        <v>#REF!</v>
      </c>
      <c r="N5" s="694" t="e">
        <f>'8_Data Adjust'!#REF!</f>
        <v>#REF!</v>
      </c>
      <c r="O5" s="694" t="e">
        <f>'8_Data Adjust'!#REF!</f>
        <v>#REF!</v>
      </c>
      <c r="P5" s="694" t="e">
        <f>'8_Data Adjust'!#REF!</f>
        <v>#REF!</v>
      </c>
      <c r="Q5" s="694" t="e">
        <f>'8_Data Adjust'!#REF!</f>
        <v>#REF!</v>
      </c>
      <c r="R5" s="694" t="e">
        <f>'8_Data Adjust'!#REF!</f>
        <v>#REF!</v>
      </c>
      <c r="S5" s="694" t="e">
        <f>'8_Data Adjust'!#REF!</f>
        <v>#REF!</v>
      </c>
      <c r="T5" s="694" t="e">
        <f>'8_Data Adjust'!#REF!</f>
        <v>#REF!</v>
      </c>
      <c r="U5" s="694" t="e">
        <f>'8_Data Adjust'!#REF!</f>
        <v>#REF!</v>
      </c>
      <c r="V5" s="694" t="e">
        <f>'8_Data Adjust'!#REF!</f>
        <v>#REF!</v>
      </c>
      <c r="W5" s="694" t="e">
        <f>'8_Data Adjust'!#REF!</f>
        <v>#REF!</v>
      </c>
      <c r="X5" s="694" t="e">
        <f>'8_Data Adjust'!#REF!</f>
        <v>#REF!</v>
      </c>
      <c r="Y5" s="694" t="e">
        <f>'8_Data Adjust'!#REF!</f>
        <v>#REF!</v>
      </c>
      <c r="Z5" s="694" t="e">
        <f>'8_Data Adjust'!#REF!</f>
        <v>#REF!</v>
      </c>
      <c r="AA5" s="694" t="e">
        <f>'8_Data Adjust'!#REF!</f>
        <v>#REF!</v>
      </c>
    </row>
    <row r="6" spans="1:28">
      <c r="A6" s="34"/>
      <c r="B6" s="632"/>
      <c r="C6" s="34" t="s">
        <v>684</v>
      </c>
      <c r="D6" s="34" t="s">
        <v>78</v>
      </c>
      <c r="E6" s="34"/>
      <c r="F6" s="694" t="e">
        <f>'8_Data Adjust'!#REF!</f>
        <v>#REF!</v>
      </c>
      <c r="G6" s="694" t="e">
        <f>'8_Data Adjust'!#REF!</f>
        <v>#REF!</v>
      </c>
      <c r="H6" s="694" t="e">
        <f>'8_Data Adjust'!#REF!</f>
        <v>#REF!</v>
      </c>
      <c r="I6" s="694" t="e">
        <f>'8_Data Adjust'!#REF!</f>
        <v>#REF!</v>
      </c>
      <c r="J6" s="694" t="e">
        <f>'8_Data Adjust'!#REF!</f>
        <v>#REF!</v>
      </c>
      <c r="K6" s="694" t="e">
        <f>'8_Data Adjust'!#REF!</f>
        <v>#REF!</v>
      </c>
      <c r="L6" s="694" t="e">
        <f>'8_Data Adjust'!#REF!</f>
        <v>#REF!</v>
      </c>
      <c r="M6" s="694" t="e">
        <f>'8_Data Adjust'!#REF!</f>
        <v>#REF!</v>
      </c>
      <c r="N6" s="694" t="e">
        <f>'8_Data Adjust'!#REF!</f>
        <v>#REF!</v>
      </c>
      <c r="O6" s="694" t="e">
        <f>'8_Data Adjust'!#REF!</f>
        <v>#REF!</v>
      </c>
      <c r="P6" s="694" t="e">
        <f>'8_Data Adjust'!#REF!</f>
        <v>#REF!</v>
      </c>
      <c r="Q6" s="694" t="e">
        <f>'8_Data Adjust'!#REF!</f>
        <v>#REF!</v>
      </c>
      <c r="R6" s="694" t="e">
        <f>'8_Data Adjust'!#REF!</f>
        <v>#REF!</v>
      </c>
      <c r="S6" s="694" t="e">
        <f>'8_Data Adjust'!#REF!</f>
        <v>#REF!</v>
      </c>
      <c r="T6" s="694" t="e">
        <f>'8_Data Adjust'!#REF!</f>
        <v>#REF!</v>
      </c>
      <c r="U6" s="694" t="e">
        <f>'8_Data Adjust'!#REF!</f>
        <v>#REF!</v>
      </c>
      <c r="V6" s="694" t="e">
        <f>'8_Data Adjust'!#REF!</f>
        <v>#REF!</v>
      </c>
      <c r="W6" s="694" t="e">
        <f>'8_Data Adjust'!#REF!</f>
        <v>#REF!</v>
      </c>
      <c r="X6" s="694" t="e">
        <f>'8_Data Adjust'!#REF!</f>
        <v>#REF!</v>
      </c>
      <c r="Y6" s="694" t="e">
        <f>'8_Data Adjust'!#REF!</f>
        <v>#REF!</v>
      </c>
      <c r="Z6" s="694" t="e">
        <f>'8_Data Adjust'!#REF!</f>
        <v>#REF!</v>
      </c>
      <c r="AA6" s="694" t="e">
        <f>'8_Data Adjust'!#REF!</f>
        <v>#REF!</v>
      </c>
    </row>
    <row r="7" spans="1:28">
      <c r="A7" s="34"/>
      <c r="B7" s="632"/>
      <c r="C7" s="34" t="s">
        <v>685</v>
      </c>
      <c r="D7" s="34" t="s">
        <v>79</v>
      </c>
      <c r="E7" s="34"/>
      <c r="F7" s="694" t="e">
        <f>'8_Data Adjust'!#REF!</f>
        <v>#REF!</v>
      </c>
      <c r="G7" s="694" t="e">
        <f>'8_Data Adjust'!#REF!</f>
        <v>#REF!</v>
      </c>
      <c r="H7" s="694" t="e">
        <f>'8_Data Adjust'!#REF!</f>
        <v>#REF!</v>
      </c>
      <c r="I7" s="694" t="e">
        <f>'8_Data Adjust'!#REF!</f>
        <v>#REF!</v>
      </c>
      <c r="J7" s="694" t="e">
        <f>'8_Data Adjust'!#REF!</f>
        <v>#REF!</v>
      </c>
      <c r="K7" s="694" t="e">
        <f>'8_Data Adjust'!#REF!</f>
        <v>#REF!</v>
      </c>
      <c r="L7" s="694" t="e">
        <f>'8_Data Adjust'!#REF!</f>
        <v>#REF!</v>
      </c>
      <c r="M7" s="694" t="e">
        <f>'8_Data Adjust'!#REF!</f>
        <v>#REF!</v>
      </c>
      <c r="N7" s="694" t="e">
        <f>'8_Data Adjust'!#REF!</f>
        <v>#REF!</v>
      </c>
      <c r="O7" s="694" t="e">
        <f>'8_Data Adjust'!#REF!</f>
        <v>#REF!</v>
      </c>
      <c r="P7" s="694" t="e">
        <f>'8_Data Adjust'!#REF!</f>
        <v>#REF!</v>
      </c>
      <c r="Q7" s="694" t="e">
        <f>'8_Data Adjust'!#REF!</f>
        <v>#REF!</v>
      </c>
      <c r="R7" s="694" t="e">
        <f>'8_Data Adjust'!#REF!</f>
        <v>#REF!</v>
      </c>
      <c r="S7" s="694" t="e">
        <f>'8_Data Adjust'!#REF!</f>
        <v>#REF!</v>
      </c>
      <c r="T7" s="694" t="e">
        <f>'8_Data Adjust'!#REF!</f>
        <v>#REF!</v>
      </c>
      <c r="U7" s="694" t="e">
        <f>'8_Data Adjust'!#REF!</f>
        <v>#REF!</v>
      </c>
      <c r="V7" s="694" t="e">
        <f>'8_Data Adjust'!#REF!</f>
        <v>#REF!</v>
      </c>
      <c r="W7" s="694" t="e">
        <f>'8_Data Adjust'!#REF!</f>
        <v>#REF!</v>
      </c>
      <c r="X7" s="694" t="e">
        <f>'8_Data Adjust'!#REF!</f>
        <v>#REF!</v>
      </c>
      <c r="Y7" s="694" t="e">
        <f>'8_Data Adjust'!#REF!</f>
        <v>#REF!</v>
      </c>
      <c r="Z7" s="694" t="e">
        <f>'8_Data Adjust'!#REF!</f>
        <v>#REF!</v>
      </c>
      <c r="AA7" s="694" t="e">
        <f>'8_Data Adjust'!#REF!</f>
        <v>#REF!</v>
      </c>
    </row>
    <row r="8" spans="1:28">
      <c r="A8" s="34"/>
      <c r="B8" s="632"/>
      <c r="C8" s="34" t="s">
        <v>686</v>
      </c>
      <c r="D8" s="34" t="s">
        <v>80</v>
      </c>
      <c r="E8" s="34"/>
      <c r="F8" s="694" t="e">
        <f>'8_Data Adjust'!#REF!</f>
        <v>#REF!</v>
      </c>
      <c r="G8" s="694" t="e">
        <f>'8_Data Adjust'!#REF!</f>
        <v>#REF!</v>
      </c>
      <c r="H8" s="694" t="e">
        <f>'8_Data Adjust'!#REF!</f>
        <v>#REF!</v>
      </c>
      <c r="I8" s="694" t="e">
        <f>'8_Data Adjust'!#REF!</f>
        <v>#REF!</v>
      </c>
      <c r="J8" s="694" t="e">
        <f>'8_Data Adjust'!#REF!</f>
        <v>#REF!</v>
      </c>
      <c r="K8" s="694" t="e">
        <f>'8_Data Adjust'!#REF!</f>
        <v>#REF!</v>
      </c>
      <c r="L8" s="694" t="e">
        <f>'8_Data Adjust'!#REF!</f>
        <v>#REF!</v>
      </c>
      <c r="M8" s="694" t="e">
        <f>'8_Data Adjust'!#REF!</f>
        <v>#REF!</v>
      </c>
      <c r="N8" s="694" t="e">
        <f>'8_Data Adjust'!#REF!</f>
        <v>#REF!</v>
      </c>
      <c r="O8" s="694" t="e">
        <f>'8_Data Adjust'!#REF!</f>
        <v>#REF!</v>
      </c>
      <c r="P8" s="694" t="e">
        <f>'8_Data Adjust'!#REF!</f>
        <v>#REF!</v>
      </c>
      <c r="Q8" s="694" t="e">
        <f>'8_Data Adjust'!#REF!</f>
        <v>#REF!</v>
      </c>
      <c r="R8" s="694" t="e">
        <f>'8_Data Adjust'!#REF!</f>
        <v>#REF!</v>
      </c>
      <c r="S8" s="694" t="e">
        <f>'8_Data Adjust'!#REF!</f>
        <v>#REF!</v>
      </c>
      <c r="T8" s="694" t="e">
        <f>'8_Data Adjust'!#REF!</f>
        <v>#REF!</v>
      </c>
      <c r="U8" s="694" t="e">
        <f>'8_Data Adjust'!#REF!</f>
        <v>#REF!</v>
      </c>
      <c r="V8" s="694" t="e">
        <f>'8_Data Adjust'!#REF!</f>
        <v>#REF!</v>
      </c>
      <c r="W8" s="694" t="e">
        <f>'8_Data Adjust'!#REF!</f>
        <v>#REF!</v>
      </c>
      <c r="X8" s="694" t="e">
        <f>'8_Data Adjust'!#REF!</f>
        <v>#REF!</v>
      </c>
      <c r="Y8" s="694" t="e">
        <f>'8_Data Adjust'!#REF!</f>
        <v>#REF!</v>
      </c>
      <c r="Z8" s="694" t="e">
        <f>'8_Data Adjust'!#REF!</f>
        <v>#REF!</v>
      </c>
      <c r="AA8" s="694" t="e">
        <f>'8_Data Adjust'!#REF!</f>
        <v>#REF!</v>
      </c>
    </row>
    <row r="9" spans="1:28">
      <c r="A9" s="34"/>
      <c r="B9" s="632"/>
      <c r="C9" s="34" t="s">
        <v>672</v>
      </c>
      <c r="D9" s="34" t="s">
        <v>81</v>
      </c>
      <c r="E9" s="34"/>
      <c r="F9" s="694" t="e">
        <f>'8_Data Adjust'!#REF!</f>
        <v>#REF!</v>
      </c>
      <c r="G9" s="694" t="e">
        <f>'8_Data Adjust'!#REF!</f>
        <v>#REF!</v>
      </c>
      <c r="H9" s="694" t="e">
        <f>'8_Data Adjust'!#REF!</f>
        <v>#REF!</v>
      </c>
      <c r="I9" s="694" t="e">
        <f>'8_Data Adjust'!#REF!</f>
        <v>#REF!</v>
      </c>
      <c r="J9" s="694" t="e">
        <f>'8_Data Adjust'!#REF!</f>
        <v>#REF!</v>
      </c>
      <c r="K9" s="694" t="e">
        <f>'8_Data Adjust'!#REF!</f>
        <v>#REF!</v>
      </c>
      <c r="L9" s="694" t="e">
        <f>'8_Data Adjust'!#REF!</f>
        <v>#REF!</v>
      </c>
      <c r="M9" s="694" t="e">
        <f>'8_Data Adjust'!#REF!</f>
        <v>#REF!</v>
      </c>
      <c r="N9" s="694" t="e">
        <f>'8_Data Adjust'!#REF!</f>
        <v>#REF!</v>
      </c>
      <c r="O9" s="694" t="e">
        <f>'8_Data Adjust'!#REF!</f>
        <v>#REF!</v>
      </c>
      <c r="P9" s="694" t="e">
        <f>'8_Data Adjust'!#REF!</f>
        <v>#REF!</v>
      </c>
      <c r="Q9" s="694" t="e">
        <f>'8_Data Adjust'!#REF!</f>
        <v>#REF!</v>
      </c>
      <c r="R9" s="694" t="e">
        <f>'8_Data Adjust'!#REF!</f>
        <v>#REF!</v>
      </c>
      <c r="S9" s="694" t="e">
        <f>'8_Data Adjust'!#REF!</f>
        <v>#REF!</v>
      </c>
      <c r="T9" s="694" t="e">
        <f>'8_Data Adjust'!#REF!</f>
        <v>#REF!</v>
      </c>
      <c r="U9" s="694" t="e">
        <f>'8_Data Adjust'!#REF!</f>
        <v>#REF!</v>
      </c>
      <c r="V9" s="694" t="e">
        <f>'8_Data Adjust'!#REF!</f>
        <v>#REF!</v>
      </c>
      <c r="W9" s="694" t="e">
        <f>'8_Data Adjust'!#REF!</f>
        <v>#REF!</v>
      </c>
      <c r="X9" s="694" t="e">
        <f>'8_Data Adjust'!#REF!</f>
        <v>#REF!</v>
      </c>
      <c r="Y9" s="694" t="e">
        <f>'8_Data Adjust'!#REF!</f>
        <v>#REF!</v>
      </c>
      <c r="Z9" s="694" t="e">
        <f>'8_Data Adjust'!#REF!</f>
        <v>#REF!</v>
      </c>
      <c r="AA9" s="694" t="e">
        <f>'8_Data Adjust'!#REF!</f>
        <v>#REF!</v>
      </c>
    </row>
    <row r="10" spans="1:28">
      <c r="A10" s="34"/>
      <c r="B10" s="632"/>
      <c r="C10" s="632"/>
      <c r="D10" s="613" t="s">
        <v>398</v>
      </c>
      <c r="E10" s="34"/>
      <c r="F10" s="694" t="e">
        <f t="shared" ref="F10:J10" si="1">SUM(F3:F9)</f>
        <v>#REF!</v>
      </c>
      <c r="G10" s="694" t="e">
        <f t="shared" si="1"/>
        <v>#REF!</v>
      </c>
      <c r="H10" s="694" t="e">
        <f t="shared" si="1"/>
        <v>#REF!</v>
      </c>
      <c r="I10" s="694" t="e">
        <f t="shared" si="1"/>
        <v>#REF!</v>
      </c>
      <c r="J10" s="694" t="e">
        <f t="shared" si="1"/>
        <v>#REF!</v>
      </c>
      <c r="K10" s="694" t="e">
        <f>SUM(K3:K9)</f>
        <v>#REF!</v>
      </c>
      <c r="L10" s="694" t="e">
        <f t="shared" ref="L10:AA10" si="2">SUM(L3:L9)</f>
        <v>#REF!</v>
      </c>
      <c r="M10" s="694" t="e">
        <f t="shared" si="2"/>
        <v>#REF!</v>
      </c>
      <c r="N10" s="694" t="e">
        <f t="shared" si="2"/>
        <v>#REF!</v>
      </c>
      <c r="O10" s="694" t="e">
        <f t="shared" si="2"/>
        <v>#REF!</v>
      </c>
      <c r="P10" s="694" t="e">
        <f t="shared" si="2"/>
        <v>#REF!</v>
      </c>
      <c r="Q10" s="694" t="e">
        <f t="shared" si="2"/>
        <v>#REF!</v>
      </c>
      <c r="R10" s="694" t="e">
        <f t="shared" si="2"/>
        <v>#REF!</v>
      </c>
      <c r="S10" s="694" t="e">
        <f t="shared" si="2"/>
        <v>#REF!</v>
      </c>
      <c r="T10" s="694" t="e">
        <f t="shared" si="2"/>
        <v>#REF!</v>
      </c>
      <c r="U10" s="694" t="e">
        <f t="shared" si="2"/>
        <v>#REF!</v>
      </c>
      <c r="V10" s="694" t="e">
        <f t="shared" si="2"/>
        <v>#REF!</v>
      </c>
      <c r="W10" s="694" t="e">
        <f t="shared" si="2"/>
        <v>#REF!</v>
      </c>
      <c r="X10" s="694" t="e">
        <f t="shared" si="2"/>
        <v>#REF!</v>
      </c>
      <c r="Y10" s="694" t="e">
        <f t="shared" si="2"/>
        <v>#REF!</v>
      </c>
      <c r="Z10" s="694" t="e">
        <f t="shared" si="2"/>
        <v>#REF!</v>
      </c>
      <c r="AA10" s="694" t="e">
        <f t="shared" si="2"/>
        <v>#REF!</v>
      </c>
    </row>
    <row r="11" spans="1:28">
      <c r="A11" s="34"/>
      <c r="B11" s="632"/>
      <c r="C11" s="632"/>
      <c r="D11" s="34" t="s">
        <v>399</v>
      </c>
      <c r="E11" s="34"/>
      <c r="F11" s="793">
        <v>0</v>
      </c>
      <c r="G11" s="793">
        <v>0</v>
      </c>
      <c r="H11" s="793">
        <v>0</v>
      </c>
      <c r="I11" s="793">
        <v>0</v>
      </c>
      <c r="J11" s="793">
        <v>0</v>
      </c>
      <c r="K11" s="793">
        <v>0</v>
      </c>
      <c r="L11" s="793">
        <v>0</v>
      </c>
      <c r="M11" s="793">
        <v>0</v>
      </c>
      <c r="N11" s="793">
        <v>0</v>
      </c>
      <c r="O11" s="793">
        <v>0</v>
      </c>
      <c r="P11" s="793">
        <v>0</v>
      </c>
      <c r="Q11" s="793">
        <v>0</v>
      </c>
      <c r="R11" s="793">
        <v>0</v>
      </c>
      <c r="S11" s="793">
        <v>0</v>
      </c>
      <c r="T11" s="793">
        <v>0</v>
      </c>
      <c r="U11" s="793">
        <v>0</v>
      </c>
      <c r="V11" s="793">
        <v>0</v>
      </c>
      <c r="W11" s="793">
        <v>0</v>
      </c>
      <c r="X11" s="793">
        <v>0</v>
      </c>
      <c r="Y11" s="793">
        <v>0</v>
      </c>
      <c r="Z11" s="793">
        <v>0</v>
      </c>
      <c r="AA11" s="793">
        <v>0</v>
      </c>
    </row>
    <row r="12" spans="1:28">
      <c r="A12" s="34"/>
      <c r="B12" s="34"/>
      <c r="C12" s="34"/>
      <c r="D12" s="34" t="s">
        <v>388</v>
      </c>
      <c r="E12" s="34"/>
      <c r="F12" s="694" t="e">
        <f>F10*F11</f>
        <v>#REF!</v>
      </c>
      <c r="G12" s="694" t="e">
        <f>G10*G11</f>
        <v>#REF!</v>
      </c>
      <c r="H12" s="694" t="e">
        <f>H10*H11</f>
        <v>#REF!</v>
      </c>
      <c r="I12" s="694" t="e">
        <f t="shared" ref="I12:AA12" si="3">I10*I11</f>
        <v>#REF!</v>
      </c>
      <c r="J12" s="694" t="e">
        <f t="shared" si="3"/>
        <v>#REF!</v>
      </c>
      <c r="K12" s="694" t="e">
        <f t="shared" si="3"/>
        <v>#REF!</v>
      </c>
      <c r="L12" s="694" t="e">
        <f t="shared" si="3"/>
        <v>#REF!</v>
      </c>
      <c r="M12" s="694" t="e">
        <f t="shared" si="3"/>
        <v>#REF!</v>
      </c>
      <c r="N12" s="694" t="e">
        <f t="shared" si="3"/>
        <v>#REF!</v>
      </c>
      <c r="O12" s="694" t="e">
        <f t="shared" si="3"/>
        <v>#REF!</v>
      </c>
      <c r="P12" s="694" t="e">
        <f t="shared" si="3"/>
        <v>#REF!</v>
      </c>
      <c r="Q12" s="694" t="e">
        <f t="shared" si="3"/>
        <v>#REF!</v>
      </c>
      <c r="R12" s="694" t="e">
        <f t="shared" si="3"/>
        <v>#REF!</v>
      </c>
      <c r="S12" s="694" t="e">
        <f t="shared" si="3"/>
        <v>#REF!</v>
      </c>
      <c r="T12" s="694" t="e">
        <f t="shared" si="3"/>
        <v>#REF!</v>
      </c>
      <c r="U12" s="694" t="e">
        <f t="shared" si="3"/>
        <v>#REF!</v>
      </c>
      <c r="V12" s="694" t="e">
        <f t="shared" si="3"/>
        <v>#REF!</v>
      </c>
      <c r="W12" s="694" t="e">
        <f t="shared" si="3"/>
        <v>#REF!</v>
      </c>
      <c r="X12" s="694" t="e">
        <f t="shared" si="3"/>
        <v>#REF!</v>
      </c>
      <c r="Y12" s="694" t="e">
        <f t="shared" si="3"/>
        <v>#REF!</v>
      </c>
      <c r="Z12" s="694" t="e">
        <f t="shared" si="3"/>
        <v>#REF!</v>
      </c>
      <c r="AA12" s="694" t="e">
        <f t="shared" si="3"/>
        <v>#REF!</v>
      </c>
    </row>
    <row r="13" spans="1:28">
      <c r="A13" s="34"/>
      <c r="B13" s="34"/>
      <c r="C13" s="34"/>
      <c r="D13" s="34" t="s">
        <v>392</v>
      </c>
      <c r="E13" s="34"/>
      <c r="F13" s="695" t="e">
        <f t="shared" ref="F13:Z13" si="4">F10+F12</f>
        <v>#REF!</v>
      </c>
      <c r="G13" s="695" t="e">
        <f t="shared" si="4"/>
        <v>#REF!</v>
      </c>
      <c r="H13" s="695" t="e">
        <f t="shared" si="4"/>
        <v>#REF!</v>
      </c>
      <c r="I13" s="695" t="e">
        <f t="shared" si="4"/>
        <v>#REF!</v>
      </c>
      <c r="J13" s="695" t="e">
        <f t="shared" si="4"/>
        <v>#REF!</v>
      </c>
      <c r="K13" s="695" t="e">
        <f t="shared" si="4"/>
        <v>#REF!</v>
      </c>
      <c r="L13" s="695" t="e">
        <f t="shared" si="4"/>
        <v>#REF!</v>
      </c>
      <c r="M13" s="695" t="e">
        <f t="shared" si="4"/>
        <v>#REF!</v>
      </c>
      <c r="N13" s="695" t="e">
        <f t="shared" si="4"/>
        <v>#REF!</v>
      </c>
      <c r="O13" s="695" t="e">
        <f t="shared" si="4"/>
        <v>#REF!</v>
      </c>
      <c r="P13" s="695" t="e">
        <f t="shared" si="4"/>
        <v>#REF!</v>
      </c>
      <c r="Q13" s="695" t="e">
        <f t="shared" si="4"/>
        <v>#REF!</v>
      </c>
      <c r="R13" s="695" t="e">
        <f t="shared" si="4"/>
        <v>#REF!</v>
      </c>
      <c r="S13" s="695" t="e">
        <f t="shared" si="4"/>
        <v>#REF!</v>
      </c>
      <c r="T13" s="695" t="e">
        <f t="shared" si="4"/>
        <v>#REF!</v>
      </c>
      <c r="U13" s="695" t="e">
        <f t="shared" si="4"/>
        <v>#REF!</v>
      </c>
      <c r="V13" s="695" t="e">
        <f t="shared" si="4"/>
        <v>#REF!</v>
      </c>
      <c r="W13" s="695" t="e">
        <f t="shared" si="4"/>
        <v>#REF!</v>
      </c>
      <c r="X13" s="695" t="e">
        <f t="shared" si="4"/>
        <v>#REF!</v>
      </c>
      <c r="Y13" s="695" t="e">
        <f t="shared" si="4"/>
        <v>#REF!</v>
      </c>
      <c r="Z13" s="695" t="e">
        <f t="shared" si="4"/>
        <v>#REF!</v>
      </c>
      <c r="AA13" s="695" t="e">
        <f>AA10+AA12</f>
        <v>#REF!</v>
      </c>
    </row>
    <row r="14" spans="1:28">
      <c r="A14" s="34"/>
      <c r="B14" s="34"/>
      <c r="C14" s="34"/>
      <c r="D14" s="613" t="s">
        <v>400</v>
      </c>
      <c r="E14" s="34"/>
      <c r="F14" s="696" t="e">
        <f t="shared" ref="F14:J14" si="5">SUM(F7:F13)</f>
        <v>#REF!</v>
      </c>
      <c r="G14" s="696" t="e">
        <f t="shared" si="5"/>
        <v>#REF!</v>
      </c>
      <c r="H14" s="696" t="e">
        <f t="shared" si="5"/>
        <v>#REF!</v>
      </c>
      <c r="I14" s="696" t="e">
        <f t="shared" si="5"/>
        <v>#REF!</v>
      </c>
      <c r="J14" s="696" t="e">
        <f t="shared" si="5"/>
        <v>#REF!</v>
      </c>
      <c r="K14" s="696" t="e">
        <f>J14+K13</f>
        <v>#REF!</v>
      </c>
      <c r="L14" s="696" t="e">
        <f t="shared" ref="L14:Z14" si="6">K14+L13</f>
        <v>#REF!</v>
      </c>
      <c r="M14" s="696" t="e">
        <f t="shared" si="6"/>
        <v>#REF!</v>
      </c>
      <c r="N14" s="696" t="e">
        <f t="shared" si="6"/>
        <v>#REF!</v>
      </c>
      <c r="O14" s="696" t="e">
        <f t="shared" si="6"/>
        <v>#REF!</v>
      </c>
      <c r="P14" s="696" t="e">
        <f t="shared" si="6"/>
        <v>#REF!</v>
      </c>
      <c r="Q14" s="696" t="e">
        <f t="shared" si="6"/>
        <v>#REF!</v>
      </c>
      <c r="R14" s="696" t="e">
        <f t="shared" si="6"/>
        <v>#REF!</v>
      </c>
      <c r="S14" s="696" t="e">
        <f t="shared" si="6"/>
        <v>#REF!</v>
      </c>
      <c r="T14" s="696" t="e">
        <f t="shared" si="6"/>
        <v>#REF!</v>
      </c>
      <c r="U14" s="696" t="e">
        <f t="shared" si="6"/>
        <v>#REF!</v>
      </c>
      <c r="V14" s="696" t="e">
        <f t="shared" si="6"/>
        <v>#REF!</v>
      </c>
      <c r="W14" s="696" t="e">
        <f t="shared" si="6"/>
        <v>#REF!</v>
      </c>
      <c r="X14" s="696" t="e">
        <f t="shared" si="6"/>
        <v>#REF!</v>
      </c>
      <c r="Y14" s="696" t="e">
        <f t="shared" si="6"/>
        <v>#REF!</v>
      </c>
      <c r="Z14" s="696" t="e">
        <f t="shared" si="6"/>
        <v>#REF!</v>
      </c>
      <c r="AA14" s="696" t="e">
        <f>Z14+AA13</f>
        <v>#REF!</v>
      </c>
    </row>
    <row r="15" spans="1:28">
      <c r="A15" s="613" t="s">
        <v>687</v>
      </c>
      <c r="B15" s="34"/>
      <c r="C15" s="34"/>
      <c r="D15" s="613"/>
      <c r="E15" s="34"/>
      <c r="F15" s="696"/>
      <c r="G15" s="696"/>
      <c r="H15" s="696"/>
      <c r="I15" s="696"/>
      <c r="J15" s="696"/>
      <c r="K15" s="696"/>
      <c r="L15" s="696"/>
      <c r="M15" s="696"/>
      <c r="N15" s="696"/>
      <c r="O15" s="696"/>
      <c r="P15" s="696"/>
      <c r="Q15" s="696"/>
      <c r="R15" s="696"/>
      <c r="S15" s="696"/>
      <c r="T15" s="696"/>
      <c r="U15" s="696"/>
      <c r="V15" s="696"/>
      <c r="W15" s="696"/>
      <c r="X15" s="696"/>
      <c r="Y15" s="696"/>
      <c r="Z15" s="696"/>
      <c r="AA15" s="696"/>
    </row>
    <row r="16" spans="1:28" ht="15">
      <c r="A16" s="34">
        <v>2</v>
      </c>
      <c r="B16" s="744" t="s">
        <v>40</v>
      </c>
      <c r="C16" s="744"/>
      <c r="D16" s="744"/>
      <c r="E16" s="961"/>
      <c r="F16" s="1640"/>
      <c r="G16" s="1640"/>
      <c r="H16" s="1640"/>
      <c r="I16" s="1640"/>
      <c r="J16" s="1640"/>
      <c r="K16" s="1640"/>
      <c r="L16" s="702"/>
      <c r="M16" s="702"/>
      <c r="N16" s="576"/>
      <c r="O16" s="43"/>
      <c r="P16" s="43"/>
      <c r="Q16" s="43"/>
      <c r="R16" s="43"/>
      <c r="S16" s="43"/>
      <c r="T16" s="43"/>
      <c r="U16" s="43"/>
      <c r="V16" s="43"/>
      <c r="W16" s="702"/>
      <c r="X16" s="702"/>
      <c r="Y16" s="702"/>
      <c r="Z16" s="702"/>
      <c r="AA16" s="702"/>
    </row>
    <row r="17" spans="1:27">
      <c r="A17" s="616"/>
      <c r="B17" s="34" t="s">
        <v>110</v>
      </c>
      <c r="C17" s="729"/>
      <c r="D17" s="729"/>
      <c r="E17" s="729"/>
      <c r="F17" s="34"/>
      <c r="G17" s="34"/>
      <c r="H17" s="616"/>
      <c r="I17" s="729"/>
      <c r="J17" s="616"/>
      <c r="K17" s="616"/>
      <c r="L17" s="616"/>
      <c r="M17" s="616"/>
      <c r="N17" s="616"/>
      <c r="O17" s="616"/>
      <c r="P17" s="616"/>
      <c r="Q17" s="726">
        <v>18400</v>
      </c>
      <c r="R17" s="726">
        <v>10900</v>
      </c>
      <c r="S17" s="726">
        <v>60000</v>
      </c>
      <c r="T17" s="726">
        <v>25000</v>
      </c>
      <c r="U17" s="726">
        <v>0</v>
      </c>
      <c r="V17" s="726">
        <v>38000</v>
      </c>
      <c r="W17" s="726">
        <v>-400</v>
      </c>
      <c r="X17" s="703"/>
      <c r="Y17" s="703"/>
      <c r="Z17" s="703"/>
      <c r="AA17" s="971" t="s">
        <v>688</v>
      </c>
    </row>
    <row r="18" spans="1:27">
      <c r="A18" s="616"/>
      <c r="B18" s="34" t="s">
        <v>689</v>
      </c>
      <c r="C18" s="729"/>
      <c r="D18" s="729"/>
      <c r="E18" s="729"/>
      <c r="F18" s="34"/>
      <c r="G18" s="34"/>
      <c r="H18" s="616"/>
      <c r="I18" s="729"/>
      <c r="J18" s="616"/>
      <c r="K18" s="616"/>
      <c r="L18" s="616"/>
      <c r="M18" s="616"/>
      <c r="N18" s="616"/>
      <c r="O18" s="616"/>
      <c r="P18" s="616"/>
      <c r="Q18" s="616"/>
      <c r="R18" s="616"/>
      <c r="S18" s="616"/>
      <c r="T18" s="616"/>
      <c r="U18" s="616"/>
      <c r="V18" s="616"/>
      <c r="W18" s="616"/>
      <c r="X18" s="616"/>
      <c r="Y18" s="616"/>
      <c r="Z18" s="616"/>
      <c r="AA18" s="34"/>
    </row>
    <row r="19" spans="1:27">
      <c r="A19" s="616"/>
      <c r="B19" s="34" t="s">
        <v>111</v>
      </c>
      <c r="C19" s="729"/>
      <c r="D19" s="729"/>
      <c r="E19" s="729"/>
      <c r="F19" s="34"/>
      <c r="G19" s="34"/>
      <c r="H19" s="616"/>
      <c r="I19" s="729"/>
      <c r="J19" s="616"/>
      <c r="K19" s="616"/>
      <c r="L19" s="616"/>
      <c r="M19" s="616"/>
      <c r="N19" s="616"/>
      <c r="O19" s="616"/>
      <c r="P19" s="616"/>
      <c r="Q19" s="616"/>
      <c r="R19" s="726">
        <v>1110</v>
      </c>
      <c r="S19" s="616"/>
      <c r="T19" s="616"/>
      <c r="U19" s="616"/>
      <c r="V19" s="616"/>
      <c r="W19" s="616"/>
      <c r="X19" s="616">
        <v>3</v>
      </c>
      <c r="Y19" s="616"/>
      <c r="Z19" s="616"/>
      <c r="AA19" s="34"/>
    </row>
    <row r="20" spans="1:27">
      <c r="A20" s="616"/>
      <c r="B20" s="34" t="s">
        <v>112</v>
      </c>
      <c r="C20" s="729"/>
      <c r="D20" s="729"/>
      <c r="E20" s="729"/>
      <c r="F20" s="34"/>
      <c r="G20" s="34"/>
      <c r="H20" s="616"/>
      <c r="I20" s="729"/>
      <c r="J20" s="616"/>
      <c r="K20" s="616"/>
      <c r="L20" s="616"/>
      <c r="M20" s="616"/>
      <c r="N20" s="616"/>
      <c r="O20" s="616"/>
      <c r="P20" s="616"/>
      <c r="Q20" s="616"/>
      <c r="R20" s="616"/>
      <c r="S20" s="616">
        <v>1500</v>
      </c>
      <c r="T20" s="616">
        <v>0</v>
      </c>
      <c r="U20" s="616"/>
      <c r="V20" s="616"/>
      <c r="W20" s="616"/>
      <c r="X20" s="616"/>
      <c r="Y20" s="616"/>
      <c r="Z20" s="616"/>
      <c r="AA20" s="34"/>
    </row>
    <row r="21" spans="1:27">
      <c r="A21" s="616"/>
      <c r="B21" s="34" t="s">
        <v>113</v>
      </c>
      <c r="C21" s="729"/>
      <c r="D21" s="729"/>
      <c r="E21" s="729"/>
      <c r="F21" s="34"/>
      <c r="G21" s="34"/>
      <c r="H21" s="616"/>
      <c r="I21" s="729"/>
      <c r="J21" s="616"/>
      <c r="K21" s="616"/>
      <c r="L21" s="616"/>
      <c r="M21" s="616"/>
      <c r="N21" s="616"/>
      <c r="O21" s="616"/>
      <c r="P21" s="616"/>
      <c r="Q21" s="616"/>
      <c r="R21" s="726">
        <v>6068</v>
      </c>
      <c r="S21" s="726">
        <v>35400</v>
      </c>
      <c r="T21" s="726">
        <v>19100</v>
      </c>
      <c r="U21" s="616"/>
      <c r="V21" s="616"/>
      <c r="W21" s="616"/>
      <c r="X21" s="616"/>
      <c r="Y21" s="616"/>
      <c r="Z21" s="616"/>
      <c r="AA21" s="34"/>
    </row>
    <row r="22" spans="1:27">
      <c r="A22" s="729"/>
      <c r="B22" s="34" t="s">
        <v>690</v>
      </c>
      <c r="C22" s="729"/>
      <c r="D22" s="729"/>
      <c r="E22" s="729"/>
      <c r="F22" s="34"/>
      <c r="G22" s="34"/>
      <c r="H22" s="616"/>
      <c r="I22" s="729"/>
      <c r="J22" s="616"/>
      <c r="K22" s="616"/>
      <c r="L22" s="616"/>
      <c r="M22" s="616"/>
      <c r="N22" s="616"/>
      <c r="O22" s="616"/>
      <c r="P22" s="616"/>
      <c r="Q22" s="616"/>
      <c r="R22" s="616">
        <v>3778</v>
      </c>
      <c r="S22" s="616">
        <v>900</v>
      </c>
      <c r="T22" s="616">
        <v>5700</v>
      </c>
      <c r="U22" s="616"/>
      <c r="V22" s="616"/>
      <c r="W22" s="616"/>
      <c r="X22" s="616"/>
      <c r="Y22" s="616"/>
      <c r="Z22" s="616"/>
      <c r="AA22" s="34"/>
    </row>
    <row r="23" spans="1:27">
      <c r="A23" s="729"/>
      <c r="B23" s="34" t="s">
        <v>114</v>
      </c>
      <c r="C23" s="729"/>
      <c r="D23" s="729"/>
      <c r="E23" s="729"/>
      <c r="F23" s="34"/>
      <c r="G23" s="34"/>
      <c r="H23" s="616"/>
      <c r="I23" s="729"/>
      <c r="J23" s="616"/>
      <c r="K23" s="616"/>
      <c r="L23" s="616"/>
      <c r="M23" s="616"/>
      <c r="N23" s="616"/>
      <c r="O23" s="616"/>
      <c r="P23" s="616"/>
      <c r="Q23" s="616"/>
      <c r="R23" s="616"/>
      <c r="S23" s="616"/>
      <c r="T23" s="616"/>
      <c r="U23" s="616"/>
      <c r="V23" s="616"/>
      <c r="W23" s="616"/>
      <c r="X23" s="616"/>
      <c r="Y23" s="616"/>
      <c r="Z23" s="616"/>
      <c r="AA23" s="34"/>
    </row>
    <row r="24" spans="1:27">
      <c r="A24" s="729"/>
      <c r="B24" s="34" t="s">
        <v>25</v>
      </c>
      <c r="C24" s="613"/>
      <c r="D24" s="613"/>
      <c r="E24" s="616"/>
      <c r="F24" s="616"/>
      <c r="G24" s="616"/>
      <c r="H24" s="616"/>
      <c r="I24" s="616"/>
      <c r="J24" s="616"/>
      <c r="K24" s="616"/>
      <c r="L24" s="616"/>
      <c r="M24" s="616"/>
      <c r="N24" s="616"/>
      <c r="O24" s="616"/>
      <c r="P24" s="616"/>
      <c r="Q24" s="616"/>
      <c r="R24" s="616"/>
      <c r="S24" s="616"/>
      <c r="T24" s="616"/>
      <c r="U24" s="616"/>
      <c r="V24" s="616"/>
      <c r="W24" s="616"/>
      <c r="X24" s="616"/>
      <c r="Y24" s="616"/>
      <c r="Z24" s="616"/>
      <c r="AA24" s="34"/>
    </row>
    <row r="25" spans="1:27">
      <c r="A25" s="729"/>
      <c r="B25" s="34" t="s">
        <v>115</v>
      </c>
      <c r="C25" s="34"/>
      <c r="D25" s="34"/>
      <c r="E25" s="34"/>
      <c r="F25" s="34"/>
      <c r="G25" s="34"/>
      <c r="H25" s="34"/>
      <c r="I25" s="34"/>
      <c r="J25" s="34"/>
      <c r="K25" s="34"/>
      <c r="L25" s="34"/>
      <c r="M25" s="34"/>
      <c r="N25" s="34"/>
      <c r="O25" s="34"/>
      <c r="P25" s="34"/>
      <c r="Q25" s="34"/>
      <c r="R25" s="616"/>
      <c r="S25" s="616">
        <v>22300</v>
      </c>
      <c r="T25" s="616">
        <v>0</v>
      </c>
      <c r="U25" s="616"/>
      <c r="V25" s="616"/>
      <c r="W25" s="616"/>
      <c r="X25" s="616"/>
      <c r="Y25" s="616"/>
      <c r="Z25" s="616"/>
      <c r="AA25" s="34"/>
    </row>
    <row r="26" spans="1:27">
      <c r="A26" s="729"/>
      <c r="B26" s="34" t="s">
        <v>77</v>
      </c>
      <c r="C26" s="34"/>
      <c r="D26" s="34"/>
      <c r="E26" s="34"/>
      <c r="F26" s="34"/>
      <c r="G26" s="34"/>
      <c r="H26" s="34"/>
      <c r="I26" s="34"/>
      <c r="J26" s="34"/>
      <c r="K26" s="34"/>
      <c r="L26" s="34"/>
      <c r="M26" s="34"/>
      <c r="N26" s="34"/>
      <c r="O26" s="34"/>
      <c r="P26" s="34"/>
      <c r="Q26" s="34"/>
      <c r="R26" s="616"/>
      <c r="S26" s="616"/>
      <c r="T26" s="616"/>
      <c r="U26" s="616"/>
      <c r="V26" s="616"/>
      <c r="W26" s="616"/>
      <c r="X26" s="616"/>
      <c r="Y26" s="616"/>
      <c r="Z26" s="616"/>
      <c r="AA26" s="34"/>
    </row>
    <row r="27" spans="1:27" ht="13.5" thickBot="1">
      <c r="A27" s="987" t="s">
        <v>691</v>
      </c>
      <c r="B27" s="34"/>
      <c r="C27" s="34"/>
      <c r="D27" s="34"/>
      <c r="E27" s="34"/>
      <c r="F27" s="743">
        <f t="shared" ref="F27:AA27" si="7">SUM(F17:F26)</f>
        <v>0</v>
      </c>
      <c r="G27" s="743">
        <f t="shared" si="7"/>
        <v>0</v>
      </c>
      <c r="H27" s="743">
        <f t="shared" si="7"/>
        <v>0</v>
      </c>
      <c r="I27" s="743">
        <f t="shared" si="7"/>
        <v>0</v>
      </c>
      <c r="J27" s="743">
        <f t="shared" si="7"/>
        <v>0</v>
      </c>
      <c r="K27" s="743">
        <f t="shared" si="7"/>
        <v>0</v>
      </c>
      <c r="L27" s="743">
        <f t="shared" si="7"/>
        <v>0</v>
      </c>
      <c r="M27" s="743">
        <f t="shared" si="7"/>
        <v>0</v>
      </c>
      <c r="N27" s="743">
        <f t="shared" si="7"/>
        <v>0</v>
      </c>
      <c r="O27" s="743">
        <f t="shared" si="7"/>
        <v>0</v>
      </c>
      <c r="P27" s="743">
        <f t="shared" si="7"/>
        <v>0</v>
      </c>
      <c r="Q27" s="970">
        <f t="shared" si="7"/>
        <v>18400</v>
      </c>
      <c r="R27" s="970">
        <f t="shared" si="7"/>
        <v>21856</v>
      </c>
      <c r="S27" s="970">
        <f t="shared" si="7"/>
        <v>120100</v>
      </c>
      <c r="T27" s="970">
        <f t="shared" si="7"/>
        <v>49800</v>
      </c>
      <c r="U27" s="970">
        <f t="shared" si="7"/>
        <v>0</v>
      </c>
      <c r="V27" s="970">
        <f t="shared" si="7"/>
        <v>38000</v>
      </c>
      <c r="W27" s="970">
        <f t="shared" si="7"/>
        <v>-400</v>
      </c>
      <c r="X27" s="970">
        <f t="shared" si="7"/>
        <v>3</v>
      </c>
      <c r="Y27" s="970">
        <f t="shared" si="7"/>
        <v>0</v>
      </c>
      <c r="Z27" s="970">
        <f t="shared" si="7"/>
        <v>0</v>
      </c>
      <c r="AA27" s="970">
        <f t="shared" si="7"/>
        <v>0</v>
      </c>
    </row>
    <row r="28" spans="1:27" ht="13.5" thickTop="1">
      <c r="A28" s="1641" t="s">
        <v>692</v>
      </c>
      <c r="B28" s="1641"/>
      <c r="C28" s="1641"/>
      <c r="D28" s="1641"/>
      <c r="E28" s="3"/>
      <c r="F28" s="714"/>
      <c r="G28" s="714"/>
      <c r="H28" s="714"/>
      <c r="I28" s="714"/>
      <c r="J28" s="714"/>
      <c r="K28" s="714"/>
      <c r="L28" s="714"/>
      <c r="M28" s="714"/>
      <c r="N28" s="714"/>
      <c r="O28" s="714"/>
      <c r="P28" s="714"/>
      <c r="Q28" s="714"/>
      <c r="R28" s="714"/>
      <c r="S28" s="714"/>
      <c r="T28" s="714"/>
      <c r="U28" s="714"/>
      <c r="V28" s="714"/>
      <c r="W28" s="714"/>
      <c r="X28" s="714"/>
      <c r="Y28" s="714"/>
      <c r="Z28" s="714"/>
      <c r="AA28" s="714"/>
    </row>
    <row r="29" spans="1:27">
      <c r="A29" s="34"/>
      <c r="B29" s="34"/>
      <c r="C29" s="34"/>
      <c r="D29" s="34"/>
      <c r="E29" s="34"/>
      <c r="F29" s="34"/>
      <c r="G29" s="34"/>
      <c r="H29" s="34"/>
      <c r="I29" s="631"/>
      <c r="J29" s="631"/>
      <c r="K29" s="631"/>
      <c r="L29" s="699" t="s">
        <v>103</v>
      </c>
      <c r="M29" s="700" t="s">
        <v>104</v>
      </c>
      <c r="N29" s="700" t="s">
        <v>105</v>
      </c>
      <c r="O29" s="700" t="s">
        <v>105</v>
      </c>
      <c r="P29" s="741"/>
      <c r="Q29" s="741"/>
      <c r="R29" s="741"/>
      <c r="S29" s="741"/>
      <c r="T29" s="713" t="s">
        <v>106</v>
      </c>
      <c r="U29" s="741"/>
      <c r="V29" s="713" t="s">
        <v>107</v>
      </c>
      <c r="W29" s="741"/>
      <c r="X29" s="742" t="s">
        <v>108</v>
      </c>
      <c r="Y29" s="741"/>
      <c r="Z29" s="741"/>
      <c r="AA29" s="616"/>
    </row>
    <row r="30" spans="1:27">
      <c r="A30" s="616"/>
      <c r="B30" s="34" t="s">
        <v>110</v>
      </c>
      <c r="C30" s="616"/>
      <c r="D30" s="616"/>
      <c r="E30" s="616"/>
      <c r="F30" s="34"/>
      <c r="G30" s="34"/>
      <c r="H30" s="616"/>
      <c r="I30" s="616"/>
      <c r="J30" s="616"/>
      <c r="K30" s="616"/>
      <c r="L30" s="616"/>
      <c r="M30" s="616"/>
      <c r="N30" s="616"/>
      <c r="O30" s="616"/>
      <c r="P30" s="616"/>
      <c r="Q30" s="616">
        <v>18400</v>
      </c>
      <c r="R30" s="616">
        <v>10900</v>
      </c>
      <c r="S30" s="616">
        <v>60000</v>
      </c>
      <c r="T30" s="616">
        <v>25000</v>
      </c>
      <c r="U30" s="616">
        <v>0</v>
      </c>
      <c r="V30" s="616">
        <v>38000</v>
      </c>
      <c r="W30" s="616">
        <v>-400</v>
      </c>
      <c r="X30" s="616"/>
      <c r="Y30" s="616"/>
      <c r="Z30" s="616"/>
      <c r="AA30" s="616"/>
    </row>
    <row r="31" spans="1:27">
      <c r="A31" s="616"/>
      <c r="B31" s="34" t="s">
        <v>689</v>
      </c>
      <c r="C31" s="616"/>
      <c r="D31" s="616"/>
      <c r="E31" s="616"/>
      <c r="F31" s="34"/>
      <c r="G31" s="34"/>
      <c r="H31" s="616"/>
      <c r="I31" s="616"/>
      <c r="J31" s="616"/>
      <c r="K31" s="616"/>
      <c r="L31" s="616"/>
      <c r="M31" s="616"/>
      <c r="N31" s="616"/>
      <c r="O31" s="616"/>
      <c r="P31" s="616"/>
      <c r="Q31" s="616"/>
      <c r="R31" s="616"/>
      <c r="S31" s="616"/>
      <c r="T31" s="616"/>
      <c r="U31" s="616"/>
      <c r="V31" s="616"/>
      <c r="W31" s="616" t="s">
        <v>693</v>
      </c>
      <c r="X31" s="616"/>
      <c r="Y31" s="616"/>
      <c r="Z31" s="616"/>
      <c r="AA31" s="616"/>
    </row>
    <row r="32" spans="1:27">
      <c r="A32" s="616"/>
      <c r="B32" s="34" t="s">
        <v>111</v>
      </c>
      <c r="C32" s="616"/>
      <c r="D32" s="616"/>
      <c r="E32" s="616"/>
      <c r="F32" s="34"/>
      <c r="G32" s="34"/>
      <c r="H32" s="616"/>
      <c r="I32" s="616"/>
      <c r="J32" s="616"/>
      <c r="K32" s="616"/>
      <c r="L32" s="616"/>
      <c r="M32" s="616"/>
      <c r="N32" s="616"/>
      <c r="O32" s="616"/>
      <c r="P32" s="616"/>
      <c r="Q32" s="616"/>
      <c r="R32" s="616">
        <v>1110</v>
      </c>
      <c r="S32" s="616"/>
      <c r="T32" s="616"/>
      <c r="U32" s="616"/>
      <c r="V32" s="616"/>
      <c r="W32" s="616"/>
      <c r="X32" s="616">
        <v>3</v>
      </c>
      <c r="Y32" s="616"/>
      <c r="Z32" s="616"/>
      <c r="AA32" s="616"/>
    </row>
    <row r="33" spans="1:28">
      <c r="A33" s="616">
        <v>0</v>
      </c>
      <c r="B33" s="34" t="s">
        <v>112</v>
      </c>
      <c r="C33" s="616"/>
      <c r="D33" s="616"/>
      <c r="E33" s="616"/>
      <c r="F33" s="34"/>
      <c r="G33" s="34"/>
      <c r="H33" s="616"/>
      <c r="I33" s="616"/>
      <c r="J33" s="616"/>
      <c r="K33" s="616"/>
      <c r="L33" s="616"/>
      <c r="M33" s="616"/>
      <c r="N33" s="616"/>
      <c r="O33" s="616"/>
      <c r="P33" s="616"/>
      <c r="Q33" s="616"/>
      <c r="R33" s="616"/>
      <c r="S33" s="616">
        <v>1500</v>
      </c>
      <c r="T33" s="616">
        <v>0</v>
      </c>
      <c r="U33" s="616"/>
      <c r="V33" s="616"/>
      <c r="W33" s="616"/>
      <c r="X33" s="616"/>
      <c r="Y33" s="616"/>
      <c r="Z33" s="616"/>
      <c r="AA33" s="616"/>
    </row>
    <row r="34" spans="1:28">
      <c r="A34" s="616"/>
      <c r="B34" s="34" t="s">
        <v>113</v>
      </c>
      <c r="C34" s="616"/>
      <c r="D34" s="616"/>
      <c r="E34" s="616"/>
      <c r="F34" s="34"/>
      <c r="G34" s="34"/>
      <c r="H34" s="616"/>
      <c r="I34" s="616"/>
      <c r="J34" s="616"/>
      <c r="K34" s="616"/>
      <c r="L34" s="616"/>
      <c r="M34" s="616"/>
      <c r="N34" s="616"/>
      <c r="O34" s="616"/>
      <c r="P34" s="616"/>
      <c r="Q34" s="616"/>
      <c r="R34" s="616">
        <v>6068</v>
      </c>
      <c r="S34" s="616">
        <v>35400</v>
      </c>
      <c r="T34" s="616">
        <v>19100</v>
      </c>
      <c r="U34" s="616"/>
      <c r="V34" s="616"/>
      <c r="W34" s="616"/>
      <c r="X34" s="616"/>
      <c r="Y34" s="616"/>
      <c r="Z34" s="616">
        <v>5000</v>
      </c>
      <c r="AA34" s="616">
        <v>58000</v>
      </c>
    </row>
    <row r="35" spans="1:28">
      <c r="A35" s="616"/>
      <c r="B35" s="34" t="s">
        <v>694</v>
      </c>
      <c r="C35" s="616"/>
      <c r="D35" s="616"/>
      <c r="E35" s="616"/>
      <c r="F35" s="34"/>
      <c r="G35" s="34"/>
      <c r="H35" s="616"/>
      <c r="I35" s="616"/>
      <c r="J35" s="616"/>
      <c r="K35" s="616"/>
      <c r="L35" s="616"/>
      <c r="M35" s="616"/>
      <c r="N35" s="616"/>
      <c r="O35" s="616"/>
      <c r="P35" s="616"/>
      <c r="Q35" s="616"/>
      <c r="R35" s="616">
        <v>3778</v>
      </c>
      <c r="S35" s="616">
        <v>900</v>
      </c>
      <c r="T35" s="616">
        <v>5700</v>
      </c>
      <c r="U35" s="616"/>
      <c r="V35" s="616"/>
      <c r="W35" s="616"/>
      <c r="X35" s="616"/>
      <c r="Y35" s="616"/>
      <c r="Z35" s="616">
        <v>-3000</v>
      </c>
      <c r="AA35" s="616"/>
    </row>
    <row r="36" spans="1:28">
      <c r="A36" s="616"/>
      <c r="B36" s="34" t="s">
        <v>114</v>
      </c>
      <c r="C36" s="616"/>
      <c r="D36" s="616"/>
      <c r="E36" s="616"/>
      <c r="F36" s="34"/>
      <c r="G36" s="34"/>
      <c r="H36" s="616"/>
      <c r="I36" s="616"/>
      <c r="J36" s="616"/>
      <c r="K36" s="616"/>
      <c r="L36" s="616"/>
      <c r="M36" s="616"/>
      <c r="N36" s="616"/>
      <c r="O36" s="616"/>
      <c r="P36" s="616"/>
      <c r="Q36" s="616"/>
      <c r="R36" s="616"/>
      <c r="S36" s="616"/>
      <c r="T36" s="616"/>
      <c r="U36" s="616"/>
      <c r="V36" s="616"/>
      <c r="W36" s="616"/>
      <c r="X36" s="616"/>
      <c r="Y36" s="616"/>
      <c r="Z36" s="616"/>
      <c r="AA36" s="616"/>
    </row>
    <row r="37" spans="1:28">
      <c r="A37" s="616"/>
      <c r="B37" s="34" t="s">
        <v>25</v>
      </c>
      <c r="C37" s="613"/>
      <c r="D37" s="616"/>
      <c r="E37" s="616"/>
      <c r="F37" s="616"/>
      <c r="G37" s="616"/>
      <c r="H37" s="616"/>
      <c r="I37" s="616"/>
      <c r="J37" s="616"/>
      <c r="K37" s="616"/>
      <c r="L37" s="616"/>
      <c r="M37" s="616"/>
      <c r="N37" s="616"/>
      <c r="O37" s="616"/>
      <c r="P37" s="616"/>
      <c r="Q37" s="616"/>
      <c r="R37" s="616"/>
      <c r="S37" s="616"/>
      <c r="T37" s="616"/>
      <c r="U37" s="616"/>
      <c r="V37" s="616"/>
      <c r="W37" s="616"/>
      <c r="X37" s="616"/>
      <c r="Y37" s="616"/>
      <c r="Z37" s="616"/>
      <c r="AA37" s="616"/>
    </row>
    <row r="38" spans="1:28">
      <c r="A38" s="34"/>
      <c r="B38" s="34" t="s">
        <v>115</v>
      </c>
      <c r="C38" s="34"/>
      <c r="D38" s="34"/>
      <c r="E38" s="34"/>
      <c r="F38" s="34"/>
      <c r="G38" s="34"/>
      <c r="H38" s="34"/>
      <c r="I38" s="34"/>
      <c r="J38" s="34"/>
      <c r="K38" s="34"/>
      <c r="L38" s="34"/>
      <c r="M38" s="34"/>
      <c r="N38" s="34"/>
      <c r="O38" s="34"/>
      <c r="P38" s="34"/>
      <c r="Q38" s="34"/>
      <c r="R38" s="616"/>
      <c r="S38" s="616">
        <v>22300</v>
      </c>
      <c r="T38" s="616">
        <v>0</v>
      </c>
      <c r="U38" s="616"/>
      <c r="V38" s="616"/>
      <c r="W38" s="616"/>
      <c r="X38" s="616"/>
      <c r="Y38" s="616"/>
      <c r="Z38" s="616"/>
      <c r="AA38" s="616"/>
    </row>
    <row r="39" spans="1:28">
      <c r="A39" s="34"/>
      <c r="B39" s="34" t="s">
        <v>77</v>
      </c>
      <c r="C39" s="34"/>
      <c r="D39" s="34"/>
      <c r="E39" s="34"/>
      <c r="F39" s="34"/>
      <c r="G39" s="34"/>
      <c r="H39" s="34"/>
      <c r="I39" s="34"/>
      <c r="J39" s="34"/>
      <c r="K39" s="34"/>
      <c r="L39" s="34"/>
      <c r="M39" s="34"/>
      <c r="N39" s="34"/>
      <c r="O39" s="34"/>
      <c r="P39" s="34"/>
      <c r="Q39" s="34"/>
      <c r="R39" s="616"/>
      <c r="S39" s="616"/>
      <c r="T39" s="616"/>
      <c r="U39" s="616"/>
      <c r="V39" s="616"/>
      <c r="W39" s="616"/>
      <c r="X39" s="616"/>
      <c r="Y39" s="616"/>
      <c r="Z39" s="616"/>
      <c r="AA39" s="616"/>
    </row>
    <row r="40" spans="1:28" ht="13.5" thickBot="1">
      <c r="A40" s="34"/>
      <c r="B40" s="34"/>
      <c r="C40" s="34"/>
      <c r="D40" s="34"/>
      <c r="E40" s="34"/>
      <c r="F40" s="743">
        <f t="shared" ref="F40:AA40" si="8">SUM(F30:F39)</f>
        <v>0</v>
      </c>
      <c r="G40" s="743">
        <f t="shared" si="8"/>
        <v>0</v>
      </c>
      <c r="H40" s="743">
        <f t="shared" si="8"/>
        <v>0</v>
      </c>
      <c r="I40" s="743">
        <f t="shared" si="8"/>
        <v>0</v>
      </c>
      <c r="J40" s="743">
        <f t="shared" si="8"/>
        <v>0</v>
      </c>
      <c r="K40" s="743">
        <f t="shared" si="8"/>
        <v>0</v>
      </c>
      <c r="L40" s="743">
        <f t="shared" si="8"/>
        <v>0</v>
      </c>
      <c r="M40" s="743">
        <f t="shared" si="8"/>
        <v>0</v>
      </c>
      <c r="N40" s="743">
        <f t="shared" si="8"/>
        <v>0</v>
      </c>
      <c r="O40" s="743">
        <f t="shared" si="8"/>
        <v>0</v>
      </c>
      <c r="P40" s="743">
        <f t="shared" si="8"/>
        <v>0</v>
      </c>
      <c r="Q40" s="970">
        <f t="shared" si="8"/>
        <v>18400</v>
      </c>
      <c r="R40" s="970">
        <f t="shared" si="8"/>
        <v>21856</v>
      </c>
      <c r="S40" s="970">
        <f t="shared" si="8"/>
        <v>120100</v>
      </c>
      <c r="T40" s="970">
        <f t="shared" si="8"/>
        <v>49800</v>
      </c>
      <c r="U40" s="970">
        <f t="shared" si="8"/>
        <v>0</v>
      </c>
      <c r="V40" s="970">
        <f t="shared" si="8"/>
        <v>38000</v>
      </c>
      <c r="W40" s="970">
        <f t="shared" si="8"/>
        <v>-400</v>
      </c>
      <c r="X40" s="970">
        <f t="shared" si="8"/>
        <v>3</v>
      </c>
      <c r="Y40" s="970">
        <f t="shared" si="8"/>
        <v>0</v>
      </c>
      <c r="Z40" s="970">
        <f t="shared" si="8"/>
        <v>2000</v>
      </c>
      <c r="AA40" s="974">
        <f t="shared" si="8"/>
        <v>58000</v>
      </c>
    </row>
    <row r="41" spans="1:28" ht="13.5" thickTop="1"/>
    <row r="42" spans="1:28" ht="18">
      <c r="A42" s="992" t="s">
        <v>695</v>
      </c>
      <c r="B42" s="995"/>
      <c r="C42" s="993"/>
      <c r="D42" s="993"/>
      <c r="E42" s="1040" t="e">
        <f>#REF!</f>
        <v>#REF!</v>
      </c>
      <c r="F42" s="1041"/>
      <c r="G42" s="25"/>
      <c r="H42" s="25"/>
      <c r="I42" s="25"/>
      <c r="J42" s="25"/>
      <c r="K42" s="25"/>
      <c r="L42" s="25"/>
      <c r="M42" s="25"/>
      <c r="N42" s="25"/>
      <c r="O42" s="25"/>
      <c r="P42" s="25"/>
      <c r="Q42" s="25"/>
      <c r="R42" s="25"/>
      <c r="S42" s="25"/>
      <c r="T42" s="25"/>
      <c r="U42" s="25"/>
      <c r="V42" s="25"/>
      <c r="W42" s="1555" t="s">
        <v>695</v>
      </c>
      <c r="X42" s="1556"/>
      <c r="Y42" s="1556"/>
      <c r="Z42" s="1557"/>
      <c r="AA42" s="1642">
        <v>2.6</v>
      </c>
      <c r="AB42" s="1643"/>
    </row>
    <row r="43" spans="1:28" ht="18">
      <c r="A43" s="960"/>
      <c r="B43" s="6"/>
      <c r="C43" s="960"/>
      <c r="D43" s="960"/>
      <c r="E43" s="997"/>
      <c r="F43" s="1031">
        <v>2005</v>
      </c>
      <c r="G43" s="980"/>
      <c r="H43" s="980"/>
      <c r="M43" s="1031">
        <v>2006</v>
      </c>
      <c r="N43" s="980"/>
      <c r="O43" s="980"/>
      <c r="W43" s="1029"/>
      <c r="X43" s="1029"/>
      <c r="Y43" s="1029"/>
      <c r="Z43" s="1029"/>
      <c r="AA43" s="1030"/>
      <c r="AB43" s="1030"/>
    </row>
    <row r="44" spans="1:28" ht="18">
      <c r="A44" s="960"/>
      <c r="B44" s="6"/>
      <c r="C44" s="960"/>
      <c r="D44" s="960"/>
      <c r="E44" s="997"/>
      <c r="F44" s="997"/>
      <c r="W44" s="1029"/>
      <c r="X44" s="1029"/>
      <c r="Y44" s="1029"/>
      <c r="Z44" s="1029"/>
      <c r="AA44" s="1030"/>
      <c r="AB44" s="1030"/>
    </row>
    <row r="45" spans="1:28">
      <c r="A45" s="729"/>
      <c r="B45" s="34" t="s">
        <v>7</v>
      </c>
      <c r="C45" s="34"/>
      <c r="D45" s="729"/>
      <c r="E45" s="616"/>
      <c r="F45" s="729"/>
      <c r="G45" s="729"/>
      <c r="H45" s="729"/>
      <c r="I45" s="729"/>
      <c r="J45" s="729"/>
      <c r="K45" s="729"/>
      <c r="L45" s="616">
        <v>24978</v>
      </c>
      <c r="M45" s="616">
        <v>10367</v>
      </c>
      <c r="N45" s="616">
        <v>0</v>
      </c>
      <c r="O45" s="616"/>
      <c r="P45" s="616"/>
      <c r="Q45" s="616"/>
      <c r="R45" s="616"/>
      <c r="S45" s="616"/>
      <c r="T45" s="616"/>
      <c r="U45" s="616"/>
      <c r="V45" s="616"/>
      <c r="W45" s="616"/>
      <c r="X45" s="616"/>
      <c r="Y45" s="616"/>
      <c r="Z45" s="616"/>
      <c r="AA45" s="616"/>
      <c r="AB45" s="34"/>
    </row>
    <row r="46" spans="1:28">
      <c r="A46" s="729"/>
      <c r="B46" s="34" t="s">
        <v>696</v>
      </c>
      <c r="C46" s="34"/>
      <c r="D46" s="729"/>
      <c r="E46" s="616"/>
      <c r="F46" s="729"/>
      <c r="G46" s="729"/>
      <c r="H46" s="729"/>
      <c r="I46" s="729"/>
      <c r="J46" s="729"/>
      <c r="K46" s="729"/>
      <c r="L46" s="616">
        <v>2748</v>
      </c>
      <c r="M46" s="616">
        <v>1717</v>
      </c>
      <c r="N46" s="616">
        <v>0</v>
      </c>
      <c r="O46" s="616"/>
      <c r="P46" s="616"/>
      <c r="Q46" s="616"/>
      <c r="R46" s="616"/>
      <c r="S46" s="616"/>
      <c r="T46" s="616"/>
      <c r="U46" s="616"/>
      <c r="V46" s="616"/>
      <c r="W46" s="616"/>
      <c r="X46" s="616"/>
      <c r="Y46" s="616"/>
      <c r="Z46" s="616"/>
      <c r="AA46" s="616"/>
      <c r="AB46" s="34"/>
    </row>
    <row r="47" spans="1:28">
      <c r="A47" s="729"/>
      <c r="B47" s="34" t="s">
        <v>227</v>
      </c>
      <c r="C47" s="34"/>
      <c r="D47" s="729"/>
      <c r="E47" s="616"/>
      <c r="F47" s="730"/>
      <c r="G47" s="730"/>
      <c r="H47" s="730"/>
      <c r="I47" s="730"/>
      <c r="J47" s="730"/>
      <c r="K47" s="730"/>
      <c r="L47" s="702">
        <v>1246</v>
      </c>
      <c r="M47" s="702">
        <v>108</v>
      </c>
      <c r="N47" s="702">
        <v>0</v>
      </c>
      <c r="O47" s="702"/>
      <c r="P47" s="702"/>
      <c r="Q47" s="702"/>
      <c r="R47" s="702"/>
      <c r="S47" s="702"/>
      <c r="T47" s="702"/>
      <c r="U47" s="702"/>
      <c r="V47" s="702"/>
      <c r="W47" s="702"/>
      <c r="X47" s="702"/>
      <c r="Y47" s="702"/>
      <c r="Z47" s="702"/>
      <c r="AA47" s="702"/>
      <c r="AB47" s="34"/>
    </row>
    <row r="48" spans="1:28" ht="13.5" thickBot="1">
      <c r="A48" s="729"/>
      <c r="B48" s="34"/>
      <c r="C48" s="34"/>
      <c r="D48" s="729"/>
      <c r="E48" s="616"/>
      <c r="F48" s="737"/>
      <c r="G48" s="737"/>
      <c r="H48" s="737"/>
      <c r="I48" s="737"/>
      <c r="J48" s="737"/>
      <c r="K48" s="737"/>
      <c r="L48" s="725">
        <f>SUM(L45:L47)</f>
        <v>28972</v>
      </c>
      <c r="M48" s="725">
        <f>SUM(M45:M47)</f>
        <v>12192</v>
      </c>
      <c r="N48" s="725">
        <f>SUM(N45:N47)</f>
        <v>0</v>
      </c>
      <c r="O48" s="725"/>
      <c r="P48" s="725"/>
      <c r="Q48" s="725"/>
      <c r="R48" s="725"/>
      <c r="S48" s="725"/>
      <c r="T48" s="725"/>
      <c r="U48" s="725"/>
      <c r="V48" s="725"/>
      <c r="W48" s="725"/>
      <c r="X48" s="725"/>
      <c r="Y48" s="725"/>
      <c r="Z48" s="725"/>
      <c r="AA48" s="725"/>
      <c r="AB48" s="725"/>
    </row>
    <row r="49" spans="1:28" ht="15.75" thickTop="1">
      <c r="A49" s="960"/>
      <c r="B49" s="6"/>
      <c r="C49" s="960"/>
      <c r="D49" s="38" t="s">
        <v>697</v>
      </c>
      <c r="E49" s="960"/>
      <c r="F49" s="46">
        <v>6</v>
      </c>
      <c r="G49" s="1012"/>
      <c r="H49" s="1012"/>
      <c r="L49" s="616"/>
      <c r="M49" s="616">
        <v>7</v>
      </c>
      <c r="N49" s="616"/>
      <c r="O49" s="616"/>
      <c r="P49" s="616"/>
      <c r="Q49" s="616"/>
      <c r="R49" s="616"/>
      <c r="S49" s="616"/>
      <c r="T49" s="616"/>
      <c r="U49" s="616"/>
      <c r="V49" s="616"/>
      <c r="W49" s="616"/>
      <c r="X49" s="616"/>
      <c r="Y49" s="616"/>
      <c r="Z49" s="616"/>
      <c r="AA49" s="616"/>
      <c r="AB49" s="34"/>
    </row>
    <row r="50" spans="1:28">
      <c r="A50" s="729"/>
      <c r="B50" s="34"/>
      <c r="C50" s="34"/>
      <c r="D50" s="1639">
        <v>2005</v>
      </c>
      <c r="E50" s="1639"/>
      <c r="I50" s="700" t="s">
        <v>128</v>
      </c>
      <c r="J50" s="612" t="s">
        <v>698</v>
      </c>
      <c r="K50" s="612" t="s">
        <v>699</v>
      </c>
      <c r="L50" s="616"/>
      <c r="P50" s="700" t="s">
        <v>128</v>
      </c>
      <c r="Q50" s="612" t="s">
        <v>698</v>
      </c>
      <c r="R50" s="612" t="s">
        <v>699</v>
      </c>
      <c r="S50" s="616"/>
      <c r="T50" s="616"/>
      <c r="U50" s="616"/>
      <c r="V50" s="616"/>
      <c r="W50" s="616"/>
      <c r="X50" s="616"/>
      <c r="Y50" s="616"/>
      <c r="Z50" s="616"/>
      <c r="AA50" s="616"/>
      <c r="AB50" s="34"/>
    </row>
    <row r="51" spans="1:28">
      <c r="A51" s="729"/>
      <c r="B51" s="34"/>
      <c r="C51" s="34"/>
      <c r="D51" s="616" t="s">
        <v>45</v>
      </c>
      <c r="E51" s="34"/>
      <c r="F51" s="34"/>
      <c r="G51" s="616" t="s">
        <v>128</v>
      </c>
      <c r="H51" s="616">
        <v>1656070</v>
      </c>
      <c r="I51" s="616">
        <f>H51</f>
        <v>1656070</v>
      </c>
      <c r="J51" s="34"/>
      <c r="K51" s="34"/>
      <c r="L51" s="616"/>
      <c r="M51" s="616" t="s">
        <v>45</v>
      </c>
      <c r="N51" s="616" t="s">
        <v>128</v>
      </c>
      <c r="O51" s="616">
        <v>2222795</v>
      </c>
      <c r="P51" s="616">
        <f>O51</f>
        <v>2222795</v>
      </c>
      <c r="Q51" s="34"/>
      <c r="R51" s="34"/>
      <c r="S51" s="616"/>
      <c r="T51" s="616"/>
      <c r="U51" s="616"/>
      <c r="V51" s="616"/>
      <c r="W51" s="616"/>
      <c r="X51" s="616"/>
      <c r="Y51" s="616"/>
      <c r="Z51" s="616"/>
      <c r="AA51" s="616"/>
      <c r="AB51" s="34"/>
    </row>
    <row r="52" spans="1:28">
      <c r="A52" s="729"/>
      <c r="B52" s="34"/>
      <c r="C52" s="34"/>
      <c r="D52" s="616"/>
      <c r="E52" s="34"/>
      <c r="F52" s="34"/>
      <c r="G52" s="616" t="s">
        <v>700</v>
      </c>
      <c r="H52" s="616">
        <v>-92485</v>
      </c>
      <c r="I52" s="616"/>
      <c r="J52" s="45">
        <f>H52</f>
        <v>-92485</v>
      </c>
      <c r="K52" s="34"/>
      <c r="L52" s="616">
        <f>J52</f>
        <v>-92485</v>
      </c>
      <c r="M52" s="616"/>
      <c r="N52" s="616" t="s">
        <v>700</v>
      </c>
      <c r="O52" s="616">
        <v>-38728</v>
      </c>
      <c r="P52" s="616"/>
      <c r="Q52" s="45">
        <f>O52</f>
        <v>-38728</v>
      </c>
      <c r="R52" s="34"/>
      <c r="S52" s="616">
        <f>Q52</f>
        <v>-38728</v>
      </c>
      <c r="T52" s="616"/>
      <c r="U52" s="616"/>
      <c r="V52" s="616"/>
      <c r="W52" s="616"/>
      <c r="X52" s="616"/>
      <c r="Y52" s="616"/>
      <c r="Z52" s="616"/>
      <c r="AA52" s="616"/>
      <c r="AB52" s="34"/>
    </row>
    <row r="53" spans="1:28">
      <c r="A53" s="729"/>
      <c r="B53" s="34"/>
      <c r="C53" s="34"/>
      <c r="D53" s="616"/>
      <c r="E53" s="34"/>
      <c r="F53" s="34"/>
      <c r="G53" s="616" t="s">
        <v>699</v>
      </c>
      <c r="H53" s="616">
        <f>SUM(H51:H52)</f>
        <v>1563585</v>
      </c>
      <c r="I53" s="702"/>
      <c r="J53" s="612"/>
      <c r="K53" s="576">
        <f>H53</f>
        <v>1563585</v>
      </c>
      <c r="L53" s="616"/>
      <c r="M53" s="616"/>
      <c r="N53" s="616" t="s">
        <v>699</v>
      </c>
      <c r="O53" s="616">
        <f>SUM(O51:O52)</f>
        <v>2184067</v>
      </c>
      <c r="P53" s="702"/>
      <c r="Q53" s="612"/>
      <c r="R53" s="576">
        <f>O53</f>
        <v>2184067</v>
      </c>
      <c r="S53" s="616"/>
      <c r="T53" s="616"/>
      <c r="U53" s="616"/>
      <c r="V53" s="616"/>
      <c r="W53" s="616"/>
      <c r="X53" s="616"/>
      <c r="Y53" s="616"/>
      <c r="Z53" s="616"/>
      <c r="AA53" s="616"/>
      <c r="AB53" s="34"/>
    </row>
    <row r="54" spans="1:28">
      <c r="A54" s="729"/>
      <c r="B54" s="34"/>
      <c r="C54" s="34"/>
      <c r="D54" s="616"/>
      <c r="E54" s="34"/>
      <c r="F54" s="34"/>
      <c r="G54" s="616"/>
      <c r="H54" s="616"/>
      <c r="I54" s="616">
        <f>I51</f>
        <v>1656070</v>
      </c>
      <c r="J54" s="575">
        <f>J52</f>
        <v>-92485</v>
      </c>
      <c r="K54" s="45">
        <f>I54+J54</f>
        <v>1563585</v>
      </c>
      <c r="L54" s="616"/>
      <c r="M54" s="616"/>
      <c r="N54" s="616"/>
      <c r="O54" s="616"/>
      <c r="P54" s="616">
        <f>P51</f>
        <v>2222795</v>
      </c>
      <c r="Q54" s="575">
        <f>Q52</f>
        <v>-38728</v>
      </c>
      <c r="R54" s="45">
        <f>P54+Q54</f>
        <v>2184067</v>
      </c>
      <c r="S54" s="616"/>
      <c r="T54" s="616"/>
      <c r="U54" s="616"/>
      <c r="V54" s="616"/>
      <c r="W54" s="616"/>
      <c r="X54" s="616"/>
      <c r="Y54" s="616"/>
      <c r="Z54" s="616"/>
      <c r="AA54" s="616"/>
      <c r="AB54" s="34"/>
    </row>
    <row r="55" spans="1:28">
      <c r="A55" s="729"/>
      <c r="B55" s="34"/>
      <c r="C55" s="34"/>
      <c r="D55" s="616"/>
      <c r="E55" s="34"/>
      <c r="F55" s="34"/>
      <c r="G55" s="616"/>
      <c r="H55" s="616"/>
      <c r="I55" s="616"/>
      <c r="J55" s="34"/>
      <c r="K55" s="34"/>
      <c r="L55" s="616"/>
      <c r="M55" s="616"/>
      <c r="N55" s="616"/>
      <c r="O55" s="616"/>
      <c r="P55" s="616"/>
      <c r="Q55" s="34"/>
      <c r="R55" s="34"/>
      <c r="S55" s="616"/>
      <c r="T55" s="616"/>
      <c r="U55" s="616"/>
      <c r="V55" s="616"/>
      <c r="W55" s="616"/>
      <c r="X55" s="616"/>
      <c r="Y55" s="616"/>
      <c r="Z55" s="616"/>
      <c r="AA55" s="616"/>
      <c r="AB55" s="34"/>
    </row>
    <row r="56" spans="1:28">
      <c r="A56" s="729"/>
      <c r="B56" s="34"/>
      <c r="C56" s="34"/>
      <c r="D56" s="616" t="s">
        <v>701</v>
      </c>
      <c r="E56" s="34"/>
      <c r="F56" s="34"/>
      <c r="G56" s="616" t="s">
        <v>128</v>
      </c>
      <c r="H56" s="616">
        <v>1231867</v>
      </c>
      <c r="I56" s="616">
        <f>H56</f>
        <v>1231867</v>
      </c>
      <c r="J56" s="34"/>
      <c r="K56" s="34"/>
      <c r="L56" s="616"/>
      <c r="M56" s="616" t="s">
        <v>701</v>
      </c>
      <c r="N56" s="616" t="s">
        <v>128</v>
      </c>
      <c r="O56" s="616">
        <v>1819881</v>
      </c>
      <c r="P56" s="616">
        <f>O56</f>
        <v>1819881</v>
      </c>
      <c r="Q56" s="34"/>
      <c r="R56" s="34"/>
      <c r="S56" s="616"/>
      <c r="T56" s="616"/>
      <c r="U56" s="616"/>
      <c r="V56" s="616"/>
      <c r="W56" s="616"/>
      <c r="X56" s="616"/>
      <c r="Y56" s="616"/>
      <c r="Z56" s="616"/>
      <c r="AA56" s="616"/>
      <c r="AB56" s="34"/>
    </row>
    <row r="57" spans="1:28">
      <c r="A57" s="729"/>
      <c r="B57" s="34"/>
      <c r="C57" s="34"/>
      <c r="D57" s="616"/>
      <c r="E57" s="34"/>
      <c r="F57" s="34"/>
      <c r="G57" s="616" t="s">
        <v>700</v>
      </c>
      <c r="H57" s="616">
        <v>-39131</v>
      </c>
      <c r="I57" s="616"/>
      <c r="J57" s="45">
        <f>H57</f>
        <v>-39131</v>
      </c>
      <c r="K57" s="34"/>
      <c r="L57" s="616">
        <f>-J57</f>
        <v>39131</v>
      </c>
      <c r="M57" s="616"/>
      <c r="N57" s="616" t="s">
        <v>700</v>
      </c>
      <c r="O57" s="616">
        <v>-22996</v>
      </c>
      <c r="P57" s="616"/>
      <c r="Q57" s="45">
        <f>O57</f>
        <v>-22996</v>
      </c>
      <c r="R57" s="34"/>
      <c r="S57" s="616">
        <f>-Q57</f>
        <v>22996</v>
      </c>
      <c r="T57" s="616"/>
      <c r="U57" s="616"/>
      <c r="V57" s="616"/>
      <c r="W57" s="616"/>
      <c r="X57" s="616"/>
      <c r="Y57" s="616"/>
      <c r="Z57" s="616"/>
      <c r="AA57" s="616"/>
      <c r="AB57" s="34"/>
    </row>
    <row r="58" spans="1:28">
      <c r="A58" s="729"/>
      <c r="B58" s="34"/>
      <c r="C58" s="34"/>
      <c r="D58" s="616"/>
      <c r="E58" s="34"/>
      <c r="F58" s="34"/>
      <c r="G58" s="616" t="s">
        <v>699</v>
      </c>
      <c r="H58" s="616">
        <f>SUM(H56:H57)</f>
        <v>1192736</v>
      </c>
      <c r="I58" s="702"/>
      <c r="J58" s="612"/>
      <c r="K58" s="576">
        <f>H58</f>
        <v>1192736</v>
      </c>
      <c r="L58" s="616"/>
      <c r="M58" s="616"/>
      <c r="N58" s="616" t="s">
        <v>699</v>
      </c>
      <c r="O58" s="616">
        <f>SUM(O56:O57)</f>
        <v>1796885</v>
      </c>
      <c r="P58" s="702"/>
      <c r="Q58" s="612"/>
      <c r="R58" s="576">
        <f>O58</f>
        <v>1796885</v>
      </c>
      <c r="S58" s="616"/>
      <c r="T58" s="616"/>
      <c r="U58" s="616"/>
      <c r="V58" s="616"/>
      <c r="W58" s="616"/>
      <c r="X58" s="616"/>
      <c r="Y58" s="616"/>
      <c r="Z58" s="616"/>
      <c r="AA58" s="616"/>
      <c r="AB58" s="34"/>
    </row>
    <row r="59" spans="1:28">
      <c r="A59" s="729"/>
      <c r="B59" s="34"/>
      <c r="C59" s="34"/>
      <c r="D59" s="616"/>
      <c r="E59" s="34"/>
      <c r="F59" s="34"/>
      <c r="G59" s="616"/>
      <c r="H59" s="616"/>
      <c r="I59" s="616">
        <f>I56</f>
        <v>1231867</v>
      </c>
      <c r="J59" s="575">
        <f>J57</f>
        <v>-39131</v>
      </c>
      <c r="K59" s="45">
        <f>I59+J59</f>
        <v>1192736</v>
      </c>
      <c r="L59" s="616"/>
      <c r="M59" s="616"/>
      <c r="N59" s="616"/>
      <c r="O59" s="616"/>
      <c r="P59" s="616">
        <f>P56</f>
        <v>1819881</v>
      </c>
      <c r="Q59" s="575">
        <f>Q57</f>
        <v>-22996</v>
      </c>
      <c r="R59" s="45">
        <f>P59+Q59</f>
        <v>1796885</v>
      </c>
      <c r="S59" s="616"/>
      <c r="T59" s="616"/>
      <c r="U59" s="616"/>
      <c r="V59" s="616"/>
      <c r="W59" s="616"/>
      <c r="X59" s="616"/>
      <c r="Y59" s="616"/>
      <c r="Z59" s="616"/>
      <c r="AA59" s="616"/>
      <c r="AB59" s="34"/>
    </row>
    <row r="60" spans="1:28">
      <c r="A60" s="729"/>
      <c r="B60" s="34"/>
      <c r="C60" s="34"/>
      <c r="D60" s="616"/>
      <c r="E60" s="34"/>
      <c r="F60" s="34"/>
      <c r="G60" s="616"/>
      <c r="H60" s="616"/>
      <c r="I60" s="616"/>
      <c r="J60" s="575"/>
      <c r="K60" s="45"/>
      <c r="L60" s="616"/>
      <c r="M60" s="616"/>
      <c r="N60" s="616"/>
      <c r="O60" s="616"/>
      <c r="P60" s="616"/>
      <c r="Q60" s="575"/>
      <c r="R60" s="45"/>
      <c r="S60" s="616"/>
      <c r="T60" s="616"/>
      <c r="U60" s="616"/>
      <c r="V60" s="616"/>
      <c r="W60" s="616"/>
      <c r="X60" s="616"/>
      <c r="Y60" s="616"/>
      <c r="Z60" s="616"/>
      <c r="AA60" s="616"/>
      <c r="AB60" s="34"/>
    </row>
    <row r="61" spans="1:28">
      <c r="A61" s="729"/>
      <c r="B61" s="34"/>
      <c r="C61" s="34"/>
      <c r="D61" s="616" t="s">
        <v>702</v>
      </c>
      <c r="E61" s="34"/>
      <c r="F61" s="34"/>
      <c r="G61" s="616" t="s">
        <v>128</v>
      </c>
      <c r="H61" s="616">
        <v>92092</v>
      </c>
      <c r="I61" s="616">
        <f>H61</f>
        <v>92092</v>
      </c>
      <c r="J61" s="34"/>
      <c r="K61" s="34"/>
      <c r="L61" s="616"/>
      <c r="M61" s="616" t="s">
        <v>702</v>
      </c>
      <c r="N61" s="616" t="s">
        <v>128</v>
      </c>
      <c r="O61" s="616">
        <v>69424</v>
      </c>
      <c r="P61" s="616">
        <f>O61</f>
        <v>69424</v>
      </c>
      <c r="Q61" s="34"/>
      <c r="R61" s="34"/>
      <c r="S61" s="616"/>
      <c r="T61" s="616"/>
      <c r="U61" s="616"/>
      <c r="V61" s="616"/>
      <c r="W61" s="616"/>
      <c r="X61" s="616"/>
      <c r="Y61" s="616"/>
      <c r="Z61" s="616"/>
      <c r="AA61" s="616"/>
      <c r="AB61" s="34"/>
    </row>
    <row r="62" spans="1:28">
      <c r="A62" s="729"/>
      <c r="B62" s="34"/>
      <c r="C62" s="34"/>
      <c r="D62" s="616"/>
      <c r="E62" s="34"/>
      <c r="F62" s="34"/>
      <c r="G62" s="616" t="s">
        <v>700</v>
      </c>
      <c r="H62" s="616">
        <v>-60851</v>
      </c>
      <c r="I62" s="616"/>
      <c r="J62" s="45">
        <f>H62</f>
        <v>-60851</v>
      </c>
      <c r="K62" s="34"/>
      <c r="L62" s="616">
        <f>-J62</f>
        <v>60851</v>
      </c>
      <c r="M62" s="616"/>
      <c r="N62" s="616" t="s">
        <v>700</v>
      </c>
      <c r="O62" s="616">
        <v>-32029</v>
      </c>
      <c r="P62" s="616"/>
      <c r="Q62" s="45">
        <f>O62</f>
        <v>-32029</v>
      </c>
      <c r="R62" s="34"/>
      <c r="S62" s="616">
        <f>-Q62</f>
        <v>32029</v>
      </c>
      <c r="T62" s="616"/>
      <c r="U62" s="616"/>
      <c r="V62" s="616"/>
      <c r="W62" s="616"/>
      <c r="X62" s="616"/>
      <c r="Y62" s="616"/>
      <c r="Z62" s="616"/>
      <c r="AA62" s="616"/>
      <c r="AB62" s="34"/>
    </row>
    <row r="63" spans="1:28">
      <c r="A63" s="729"/>
      <c r="B63" s="34"/>
      <c r="C63" s="34"/>
      <c r="D63" s="616"/>
      <c r="E63" s="34"/>
      <c r="F63" s="34"/>
      <c r="G63" s="616" t="s">
        <v>699</v>
      </c>
      <c r="H63" s="616">
        <f>SUM(H61:H62)</f>
        <v>31241</v>
      </c>
      <c r="I63" s="702"/>
      <c r="J63" s="612"/>
      <c r="K63" s="576">
        <f>H63</f>
        <v>31241</v>
      </c>
      <c r="L63" s="616"/>
      <c r="M63" s="616"/>
      <c r="N63" s="616" t="s">
        <v>699</v>
      </c>
      <c r="O63" s="616">
        <f>SUM(O61:O62)</f>
        <v>37395</v>
      </c>
      <c r="P63" s="702"/>
      <c r="Q63" s="612"/>
      <c r="R63" s="576">
        <f>O63</f>
        <v>37395</v>
      </c>
      <c r="S63" s="616"/>
      <c r="T63" s="616"/>
      <c r="U63" s="616"/>
      <c r="V63" s="616"/>
      <c r="W63" s="616"/>
      <c r="X63" s="616"/>
      <c r="Y63" s="616"/>
      <c r="Z63" s="616"/>
      <c r="AA63" s="616"/>
      <c r="AB63" s="34"/>
    </row>
    <row r="64" spans="1:28">
      <c r="A64" s="729"/>
      <c r="B64" s="34"/>
      <c r="C64" s="34"/>
      <c r="D64" s="616"/>
      <c r="E64" s="34"/>
      <c r="F64" s="34"/>
      <c r="G64" s="616"/>
      <c r="H64" s="616"/>
      <c r="I64" s="616">
        <f>I61</f>
        <v>92092</v>
      </c>
      <c r="J64" s="575">
        <f>J62</f>
        <v>-60851</v>
      </c>
      <c r="K64" s="45">
        <f>I64+J64</f>
        <v>31241</v>
      </c>
      <c r="L64" s="616"/>
      <c r="M64" s="616"/>
      <c r="N64" s="616"/>
      <c r="O64" s="616"/>
      <c r="P64" s="616">
        <f>P61</f>
        <v>69424</v>
      </c>
      <c r="Q64" s="575">
        <f>Q62</f>
        <v>-32029</v>
      </c>
      <c r="R64" s="45">
        <f>P64+Q64</f>
        <v>37395</v>
      </c>
      <c r="S64" s="616"/>
      <c r="T64" s="616"/>
      <c r="U64" s="616"/>
      <c r="V64" s="616"/>
      <c r="W64" s="616"/>
      <c r="X64" s="616"/>
      <c r="Y64" s="616"/>
      <c r="Z64" s="616"/>
      <c r="AA64" s="616"/>
      <c r="AB64" s="34"/>
    </row>
    <row r="65" spans="1:28">
      <c r="A65" s="729"/>
      <c r="B65" s="34"/>
      <c r="C65" s="34"/>
      <c r="D65" s="616"/>
      <c r="E65" s="34"/>
      <c r="F65" s="34"/>
      <c r="G65" s="616"/>
      <c r="H65" s="616"/>
      <c r="I65" s="616"/>
      <c r="J65" s="575"/>
      <c r="K65" s="45"/>
      <c r="L65" s="616"/>
      <c r="M65" s="616"/>
      <c r="N65" s="616"/>
      <c r="O65" s="616"/>
      <c r="P65" s="616"/>
      <c r="Q65" s="575"/>
      <c r="R65" s="45"/>
      <c r="S65" s="616"/>
      <c r="T65" s="616"/>
      <c r="U65" s="616"/>
      <c r="V65" s="616"/>
      <c r="W65" s="616"/>
      <c r="X65" s="616"/>
      <c r="Y65" s="616"/>
      <c r="Z65" s="616"/>
      <c r="AA65" s="616"/>
      <c r="AB65" s="34"/>
    </row>
    <row r="66" spans="1:28">
      <c r="A66" s="729"/>
      <c r="B66" s="34"/>
      <c r="C66" s="34"/>
      <c r="D66" s="616" t="s">
        <v>703</v>
      </c>
      <c r="E66" s="34"/>
      <c r="F66" s="34"/>
      <c r="G66" s="616" t="s">
        <v>128</v>
      </c>
      <c r="H66" s="616">
        <v>114008</v>
      </c>
      <c r="I66" s="616">
        <f>H66</f>
        <v>114008</v>
      </c>
      <c r="J66" s="34"/>
      <c r="K66" s="34"/>
      <c r="L66" s="616"/>
      <c r="M66" s="616" t="s">
        <v>703</v>
      </c>
      <c r="N66" s="616" t="s">
        <v>128</v>
      </c>
      <c r="O66" s="616">
        <v>100861</v>
      </c>
      <c r="P66" s="616">
        <f>O66</f>
        <v>100861</v>
      </c>
      <c r="Q66" s="34"/>
      <c r="R66" s="34"/>
      <c r="S66" s="616"/>
      <c r="T66" s="616"/>
      <c r="U66" s="616"/>
      <c r="V66" s="616"/>
      <c r="W66" s="616"/>
      <c r="X66" s="616"/>
      <c r="Y66" s="616"/>
      <c r="Z66" s="616"/>
      <c r="AA66" s="616"/>
      <c r="AB66" s="34"/>
    </row>
    <row r="67" spans="1:28">
      <c r="A67" s="729"/>
      <c r="B67" s="34"/>
      <c r="C67" s="34"/>
      <c r="D67" s="616"/>
      <c r="E67" s="34"/>
      <c r="F67" s="34"/>
      <c r="G67" s="616" t="s">
        <v>700</v>
      </c>
      <c r="H67" s="616">
        <v>15618</v>
      </c>
      <c r="I67" s="616"/>
      <c r="J67" s="45">
        <f>H67</f>
        <v>15618</v>
      </c>
      <c r="K67" s="34"/>
      <c r="L67" s="616">
        <f>J67</f>
        <v>15618</v>
      </c>
      <c r="M67" s="616"/>
      <c r="N67" s="616" t="s">
        <v>700</v>
      </c>
      <c r="O67" s="616">
        <v>15832</v>
      </c>
      <c r="P67" s="616"/>
      <c r="Q67" s="45">
        <f>O67</f>
        <v>15832</v>
      </c>
      <c r="R67" s="34"/>
      <c r="S67" s="616">
        <f>Q67</f>
        <v>15832</v>
      </c>
      <c r="T67" s="616"/>
      <c r="U67" s="616"/>
      <c r="V67" s="616"/>
      <c r="W67" s="616"/>
      <c r="X67" s="616"/>
      <c r="Y67" s="616"/>
      <c r="Z67" s="616"/>
      <c r="AA67" s="616"/>
      <c r="AB67" s="34"/>
    </row>
    <row r="68" spans="1:28">
      <c r="A68" s="729"/>
      <c r="B68" s="34"/>
      <c r="C68" s="34"/>
      <c r="D68" s="616"/>
      <c r="E68" s="34"/>
      <c r="F68" s="34"/>
      <c r="G68" s="616" t="s">
        <v>699</v>
      </c>
      <c r="H68" s="616">
        <f>SUM(H66:H67)</f>
        <v>129626</v>
      </c>
      <c r="I68" s="702"/>
      <c r="J68" s="612"/>
      <c r="K68" s="576">
        <f>H68</f>
        <v>129626</v>
      </c>
      <c r="L68" s="616"/>
      <c r="M68" s="616"/>
      <c r="N68" s="616" t="s">
        <v>699</v>
      </c>
      <c r="O68" s="616">
        <f>SUM(O66:O67)</f>
        <v>116693</v>
      </c>
      <c r="P68" s="702"/>
      <c r="Q68" s="612"/>
      <c r="R68" s="576">
        <f>O68</f>
        <v>116693</v>
      </c>
      <c r="S68" s="616"/>
      <c r="T68" s="616"/>
      <c r="U68" s="616"/>
      <c r="V68" s="616"/>
      <c r="W68" s="616"/>
      <c r="X68" s="616"/>
      <c r="Y68" s="616"/>
      <c r="Z68" s="616"/>
      <c r="AA68" s="616"/>
      <c r="AB68" s="34"/>
    </row>
    <row r="69" spans="1:28">
      <c r="A69" s="729"/>
      <c r="B69" s="34"/>
      <c r="C69" s="34"/>
      <c r="D69" s="616"/>
      <c r="E69" s="34"/>
      <c r="F69" s="34"/>
      <c r="G69" s="616"/>
      <c r="H69" s="616"/>
      <c r="I69" s="616">
        <f>I66</f>
        <v>114008</v>
      </c>
      <c r="J69" s="575">
        <f>J67</f>
        <v>15618</v>
      </c>
      <c r="K69" s="45">
        <f>I69+J69</f>
        <v>129626</v>
      </c>
      <c r="L69" s="616"/>
      <c r="M69" s="616"/>
      <c r="N69" s="616"/>
      <c r="O69" s="616"/>
      <c r="P69" s="616">
        <f>P66</f>
        <v>100861</v>
      </c>
      <c r="Q69" s="575">
        <f>Q67</f>
        <v>15832</v>
      </c>
      <c r="R69" s="45">
        <f>P69+Q69</f>
        <v>116693</v>
      </c>
      <c r="S69" s="616"/>
      <c r="T69" s="616"/>
      <c r="U69" s="616"/>
      <c r="V69" s="616"/>
      <c r="W69" s="616"/>
      <c r="X69" s="616"/>
      <c r="Y69" s="616"/>
      <c r="Z69" s="616"/>
      <c r="AA69" s="616"/>
      <c r="AB69" s="34"/>
    </row>
    <row r="70" spans="1:28">
      <c r="A70" s="729"/>
      <c r="B70" s="34"/>
      <c r="C70" s="34"/>
      <c r="D70" s="616"/>
      <c r="E70" s="34"/>
      <c r="F70" s="34"/>
      <c r="G70" s="702"/>
      <c r="H70" s="702"/>
      <c r="I70" s="702"/>
      <c r="J70" s="43"/>
      <c r="K70" s="43"/>
      <c r="L70" s="616"/>
      <c r="M70" s="616"/>
      <c r="N70" s="702"/>
      <c r="O70" s="702"/>
      <c r="P70" s="702"/>
      <c r="Q70" s="43"/>
      <c r="R70" s="43"/>
      <c r="S70" s="616"/>
      <c r="T70" s="616"/>
      <c r="U70" s="616"/>
      <c r="V70" s="616"/>
      <c r="W70" s="616"/>
      <c r="X70" s="616"/>
      <c r="Y70" s="616"/>
      <c r="Z70" s="616"/>
      <c r="AA70" s="616"/>
      <c r="AB70" s="34"/>
    </row>
    <row r="71" spans="1:28">
      <c r="A71" s="729"/>
      <c r="B71" s="34"/>
      <c r="C71" s="34"/>
      <c r="D71" s="616" t="s">
        <v>704</v>
      </c>
      <c r="E71" s="34"/>
      <c r="F71" s="34" t="s">
        <v>705</v>
      </c>
      <c r="G71" s="616" t="s">
        <v>128</v>
      </c>
      <c r="H71" s="616">
        <v>218228</v>
      </c>
      <c r="I71" s="616">
        <f>H71</f>
        <v>218228</v>
      </c>
      <c r="J71" s="45">
        <f>H72</f>
        <v>21007</v>
      </c>
      <c r="K71" s="45">
        <f>SUM(I71:J71)</f>
        <v>239235</v>
      </c>
      <c r="L71" s="616">
        <f>SUM(L51:L70)</f>
        <v>23115</v>
      </c>
      <c r="M71" s="616" t="s">
        <v>704</v>
      </c>
      <c r="N71" s="616" t="s">
        <v>128</v>
      </c>
      <c r="O71" s="616">
        <v>856836</v>
      </c>
      <c r="P71" s="616">
        <f>O71</f>
        <v>856836</v>
      </c>
      <c r="Q71" s="45">
        <f>O72</f>
        <v>-613726</v>
      </c>
      <c r="R71" s="45">
        <f>SUM(P71:Q71)</f>
        <v>243110</v>
      </c>
      <c r="S71" s="616">
        <f>SUM(S51:S70)</f>
        <v>32129</v>
      </c>
      <c r="T71" s="616"/>
      <c r="U71" s="616"/>
      <c r="V71" s="616"/>
      <c r="W71" s="616"/>
      <c r="X71" s="616"/>
      <c r="Y71" s="616"/>
      <c r="Z71" s="616"/>
      <c r="AA71" s="616"/>
      <c r="AB71" s="34"/>
    </row>
    <row r="72" spans="1:28">
      <c r="A72" s="729"/>
      <c r="B72" s="34"/>
      <c r="C72" s="34"/>
      <c r="D72" s="616"/>
      <c r="E72" s="34"/>
      <c r="F72" s="34"/>
      <c r="G72" s="616" t="s">
        <v>700</v>
      </c>
      <c r="H72" s="702">
        <v>21007</v>
      </c>
      <c r="I72" s="616"/>
      <c r="J72" s="46"/>
      <c r="K72" s="34"/>
      <c r="L72" s="616">
        <f>H72</f>
        <v>21007</v>
      </c>
      <c r="M72" s="616"/>
      <c r="N72" s="616" t="s">
        <v>700</v>
      </c>
      <c r="O72" s="702">
        <v>-613726</v>
      </c>
      <c r="P72" s="616"/>
      <c r="Q72" s="46"/>
      <c r="R72" s="34"/>
      <c r="S72" s="616"/>
      <c r="T72" s="616"/>
      <c r="U72" s="616"/>
      <c r="V72" s="616"/>
      <c r="W72" s="616"/>
      <c r="X72" s="616"/>
      <c r="Y72" s="616"/>
      <c r="Z72" s="616"/>
      <c r="AA72" s="616"/>
      <c r="AB72" s="34"/>
    </row>
    <row r="73" spans="1:28">
      <c r="A73" s="729"/>
      <c r="B73" s="34"/>
      <c r="C73" s="34"/>
      <c r="D73" s="616"/>
      <c r="E73" s="34"/>
      <c r="F73" s="34"/>
      <c r="G73" s="616" t="s">
        <v>699</v>
      </c>
      <c r="H73" s="616">
        <f>SUM(H71:H72)</f>
        <v>239235</v>
      </c>
      <c r="I73" s="616"/>
      <c r="J73" s="34"/>
      <c r="K73" s="34"/>
      <c r="L73" s="616">
        <f>L72-L71</f>
        <v>-2108</v>
      </c>
      <c r="M73" s="616"/>
      <c r="N73" s="616" t="s">
        <v>699</v>
      </c>
      <c r="O73" s="616">
        <f>SUM(O71:O72)</f>
        <v>243110</v>
      </c>
      <c r="P73" s="616"/>
      <c r="Q73" s="34"/>
      <c r="R73" s="34"/>
      <c r="S73" s="616"/>
      <c r="T73" s="616"/>
      <c r="U73" s="616"/>
      <c r="V73" s="616"/>
      <c r="W73" s="616"/>
      <c r="X73" s="616"/>
      <c r="Y73" s="616"/>
      <c r="Z73" s="616"/>
      <c r="AA73" s="616"/>
      <c r="AB73" s="34"/>
    </row>
    <row r="74" spans="1:28">
      <c r="A74" s="729"/>
      <c r="B74" s="34"/>
      <c r="C74" s="34"/>
      <c r="D74" s="616"/>
      <c r="E74" s="34"/>
      <c r="F74" s="34"/>
      <c r="G74" s="702"/>
      <c r="H74" s="702"/>
      <c r="I74" s="702"/>
      <c r="J74" s="702" t="s">
        <v>706</v>
      </c>
      <c r="K74" s="702"/>
      <c r="L74" s="702"/>
      <c r="M74" s="616"/>
      <c r="N74" s="702"/>
      <c r="O74" s="702"/>
      <c r="P74" s="702"/>
      <c r="Q74" s="702"/>
      <c r="R74" s="702"/>
      <c r="S74" s="702"/>
      <c r="T74" s="616"/>
      <c r="U74" s="616"/>
      <c r="V74" s="616"/>
      <c r="W74" s="616"/>
      <c r="X74" s="616"/>
      <c r="Y74" s="616"/>
      <c r="Z74" s="616"/>
      <c r="AA74" s="616"/>
      <c r="AB74" s="34"/>
    </row>
    <row r="75" spans="1:28">
      <c r="A75" s="729"/>
      <c r="B75" s="34"/>
      <c r="C75" s="34"/>
      <c r="D75" s="616" t="s">
        <v>704</v>
      </c>
      <c r="E75" s="34"/>
      <c r="F75" s="34"/>
      <c r="G75" s="616" t="s">
        <v>128</v>
      </c>
      <c r="H75" s="616"/>
      <c r="I75" s="616">
        <f>I51-I56-I61-I66</f>
        <v>218103</v>
      </c>
      <c r="J75" s="616">
        <f>J54-J59-J64-J69</f>
        <v>-8121</v>
      </c>
      <c r="K75" s="616">
        <f>K54-K59-K64-K69</f>
        <v>209982</v>
      </c>
      <c r="L75" s="616"/>
      <c r="M75" s="616"/>
      <c r="N75" s="616" t="s">
        <v>128</v>
      </c>
      <c r="O75" s="616"/>
      <c r="P75" s="616">
        <f>P51-P56-P61-P66</f>
        <v>232629</v>
      </c>
      <c r="Q75" s="616">
        <f>Q54-Q59-Q64-Q69</f>
        <v>465</v>
      </c>
      <c r="R75" s="616">
        <f>R54-R59-R64-R69</f>
        <v>233094</v>
      </c>
      <c r="S75" s="616"/>
      <c r="T75" s="616"/>
      <c r="U75" s="616"/>
      <c r="V75" s="616"/>
      <c r="W75" s="616"/>
      <c r="X75" s="616"/>
      <c r="Y75" s="616"/>
      <c r="Z75" s="616"/>
      <c r="AA75" s="616"/>
      <c r="AB75" s="34"/>
    </row>
    <row r="76" spans="1:28">
      <c r="A76" s="729"/>
      <c r="B76" s="34"/>
      <c r="C76" s="616"/>
      <c r="D76" s="34"/>
      <c r="E76" s="34"/>
      <c r="F76" s="34"/>
      <c r="G76" s="773" t="s">
        <v>707</v>
      </c>
      <c r="H76" s="773"/>
      <c r="I76" s="773"/>
      <c r="J76" s="773">
        <f>J75-J71</f>
        <v>-29128</v>
      </c>
      <c r="K76" s="773">
        <f>K75-K71</f>
        <v>-29253</v>
      </c>
      <c r="L76" s="773"/>
      <c r="M76" s="703"/>
      <c r="N76" s="773" t="s">
        <v>700</v>
      </c>
      <c r="O76" s="773"/>
      <c r="P76" s="773"/>
      <c r="Q76" s="773"/>
      <c r="R76" s="773">
        <f>R71-R75</f>
        <v>10016</v>
      </c>
      <c r="S76" s="773"/>
      <c r="T76" s="616"/>
      <c r="U76" s="616"/>
      <c r="V76" s="616"/>
      <c r="W76" s="616"/>
      <c r="X76" s="616"/>
      <c r="Y76" s="616"/>
      <c r="Z76" s="616"/>
      <c r="AA76" s="616"/>
      <c r="AB76" s="34"/>
    </row>
    <row r="77" spans="1:28">
      <c r="A77" s="729"/>
      <c r="B77" s="34"/>
      <c r="C77" s="616"/>
      <c r="D77" s="34"/>
      <c r="E77" s="34"/>
      <c r="F77" s="34"/>
      <c r="G77" s="616"/>
      <c r="H77" s="616"/>
      <c r="I77" s="616"/>
      <c r="J77" s="34"/>
      <c r="K77" s="616"/>
      <c r="L77" s="616"/>
      <c r="M77" s="616"/>
      <c r="N77" s="616"/>
      <c r="O77" s="616"/>
      <c r="P77" s="616"/>
      <c r="Q77" s="616">
        <f>Q75-Q71</f>
        <v>614191</v>
      </c>
      <c r="R77" s="616"/>
      <c r="S77" s="616"/>
      <c r="T77" s="616"/>
      <c r="U77" s="616"/>
      <c r="V77" s="616"/>
      <c r="W77" s="616"/>
      <c r="X77" s="616"/>
      <c r="Y77" s="616"/>
      <c r="Z77" s="616"/>
      <c r="AA77" s="616"/>
      <c r="AB77" s="34"/>
    </row>
    <row r="78" spans="1:28">
      <c r="A78" s="729"/>
      <c r="B78" s="34"/>
      <c r="C78" s="616"/>
      <c r="D78" s="34"/>
      <c r="E78" s="34"/>
      <c r="F78" s="34"/>
      <c r="G78" s="616"/>
      <c r="H78" s="616"/>
      <c r="I78" s="616"/>
      <c r="J78" s="616"/>
      <c r="K78" s="34"/>
      <c r="L78" s="616"/>
      <c r="M78" s="616"/>
      <c r="N78" s="616"/>
      <c r="O78" s="707">
        <v>652516</v>
      </c>
      <c r="P78" s="616">
        <f>P71</f>
        <v>856836</v>
      </c>
      <c r="Q78" s="616">
        <f>Q71+Q77</f>
        <v>465</v>
      </c>
      <c r="R78" s="616"/>
      <c r="S78" s="616"/>
      <c r="T78" s="616"/>
      <c r="U78" s="616"/>
      <c r="V78" s="616"/>
      <c r="W78" s="616"/>
      <c r="X78" s="616"/>
      <c r="Y78" s="616"/>
      <c r="Z78" s="616"/>
      <c r="AA78" s="616"/>
      <c r="AB78" s="34"/>
    </row>
    <row r="79" spans="1:28">
      <c r="A79" s="729"/>
      <c r="B79" s="34"/>
      <c r="C79" s="34"/>
      <c r="D79" s="34"/>
      <c r="E79" s="34"/>
      <c r="F79" s="34"/>
      <c r="G79" s="616"/>
      <c r="H79" s="616"/>
      <c r="I79" s="616"/>
      <c r="J79" s="616"/>
      <c r="K79" s="34"/>
      <c r="L79" s="616"/>
      <c r="M79" s="616"/>
      <c r="N79" s="616"/>
      <c r="O79" s="702">
        <v>-26879</v>
      </c>
      <c r="P79" s="616"/>
      <c r="Q79" s="616"/>
      <c r="R79" s="616"/>
      <c r="S79" s="616"/>
      <c r="T79" s="616"/>
      <c r="U79" s="616"/>
      <c r="V79" s="616"/>
      <c r="W79" s="616"/>
      <c r="X79" s="616"/>
      <c r="Y79" s="616"/>
      <c r="Z79" s="616"/>
      <c r="AA79" s="616"/>
      <c r="AB79" s="34"/>
    </row>
    <row r="80" spans="1:28">
      <c r="A80" s="729"/>
      <c r="B80" s="34"/>
      <c r="C80" s="34"/>
      <c r="D80" s="34"/>
      <c r="E80" s="34"/>
      <c r="F80" s="34"/>
      <c r="G80" s="616"/>
      <c r="H80" s="616"/>
      <c r="I80" s="616"/>
      <c r="J80" s="616"/>
      <c r="K80" s="616"/>
      <c r="L80" s="616"/>
      <c r="M80" s="616"/>
      <c r="N80" s="616"/>
      <c r="O80" s="616">
        <f>SUM(O78:O79)</f>
        <v>625637</v>
      </c>
      <c r="P80" s="702">
        <f>O80</f>
        <v>625637</v>
      </c>
      <c r="Q80" s="616"/>
      <c r="R80" s="616"/>
      <c r="S80" s="616"/>
      <c r="T80" s="616"/>
      <c r="U80" s="616"/>
      <c r="V80" s="616"/>
      <c r="W80" s="616"/>
      <c r="X80" s="616"/>
      <c r="Y80" s="616"/>
      <c r="Z80" s="616"/>
      <c r="AA80" s="616"/>
      <c r="AB80" s="34"/>
    </row>
    <row r="81" spans="1:28">
      <c r="A81" s="729"/>
      <c r="B81" s="34"/>
      <c r="C81" s="34"/>
      <c r="G81" s="616"/>
      <c r="H81" s="616"/>
      <c r="I81" s="616"/>
      <c r="J81" s="616"/>
      <c r="K81" s="616"/>
      <c r="L81" s="616"/>
      <c r="M81" s="616"/>
      <c r="N81" s="616"/>
      <c r="O81" s="616"/>
      <c r="P81" s="616">
        <f>P78-P80</f>
        <v>231199</v>
      </c>
      <c r="Q81" s="616"/>
      <c r="R81" s="616"/>
      <c r="S81" s="616"/>
      <c r="T81" s="616"/>
      <c r="U81" s="616"/>
      <c r="V81" s="616"/>
      <c r="W81" s="616"/>
      <c r="X81" s="616"/>
      <c r="Y81" s="616"/>
      <c r="Z81" s="616"/>
      <c r="AA81" s="616"/>
      <c r="AB81" s="34"/>
    </row>
    <row r="82" spans="1:28">
      <c r="A82" s="729"/>
      <c r="B82" s="34"/>
      <c r="C82" s="34"/>
      <c r="D82" s="34"/>
      <c r="E82" s="34"/>
      <c r="F82" s="34"/>
      <c r="G82" s="616"/>
      <c r="H82" s="616"/>
      <c r="I82" s="616"/>
      <c r="J82" s="616"/>
      <c r="K82" s="616"/>
      <c r="L82" s="616"/>
      <c r="M82" s="616"/>
      <c r="N82" s="616"/>
      <c r="O82" s="616"/>
      <c r="P82" s="702">
        <f>P74-P80</f>
        <v>-625637</v>
      </c>
      <c r="Q82" s="616"/>
      <c r="R82" s="616"/>
      <c r="S82" s="616"/>
      <c r="T82" s="616"/>
      <c r="U82" s="616"/>
      <c r="V82" s="616"/>
      <c r="W82" s="616"/>
      <c r="X82" s="616"/>
      <c r="Y82" s="616"/>
      <c r="Z82" s="616"/>
      <c r="AA82" s="616"/>
      <c r="AB82" s="34"/>
    </row>
    <row r="83" spans="1:28">
      <c r="A83" s="729"/>
      <c r="B83" s="34"/>
      <c r="C83" s="34"/>
      <c r="D83" s="34"/>
      <c r="E83" s="34"/>
      <c r="F83" s="34"/>
      <c r="G83" s="616"/>
      <c r="H83" s="616"/>
      <c r="I83" s="616"/>
      <c r="J83" s="616"/>
      <c r="K83" s="616"/>
      <c r="L83" s="616"/>
      <c r="M83" s="616"/>
      <c r="N83" s="616"/>
      <c r="O83" s="616"/>
      <c r="P83" s="702">
        <f>P75-P81</f>
        <v>1430</v>
      </c>
      <c r="Q83" s="616"/>
      <c r="R83" s="616"/>
      <c r="S83" s="616"/>
      <c r="T83" s="616"/>
      <c r="U83" s="616"/>
      <c r="V83" s="616"/>
      <c r="W83" s="616"/>
      <c r="X83" s="616"/>
      <c r="Y83" s="616"/>
      <c r="Z83" s="616"/>
      <c r="AA83" s="616"/>
      <c r="AB83" s="34"/>
    </row>
    <row r="84" spans="1:28" ht="13.5" thickBot="1">
      <c r="A84" s="984"/>
      <c r="B84" s="984"/>
      <c r="C84" s="984"/>
      <c r="D84" s="984"/>
      <c r="E84" s="984"/>
      <c r="F84" s="984"/>
      <c r="G84" s="984"/>
      <c r="H84" s="984"/>
      <c r="I84" s="984"/>
      <c r="J84" s="984"/>
      <c r="K84" s="984"/>
      <c r="L84" s="984"/>
      <c r="M84" s="984"/>
      <c r="N84" s="984"/>
      <c r="O84" s="984"/>
      <c r="P84" s="984"/>
      <c r="Q84" s="984"/>
      <c r="R84" s="984"/>
      <c r="S84" s="984"/>
      <c r="T84" s="984"/>
      <c r="U84" s="984"/>
      <c r="V84" s="984"/>
      <c r="W84" s="984"/>
      <c r="X84" s="984"/>
      <c r="Y84" s="984"/>
      <c r="Z84" s="984"/>
      <c r="AA84" s="984"/>
      <c r="AB84" s="738"/>
    </row>
    <row r="85" spans="1:28">
      <c r="G85" s="1005">
        <v>2005</v>
      </c>
      <c r="N85" s="1005">
        <v>2006</v>
      </c>
      <c r="AB85" s="34"/>
    </row>
    <row r="86" spans="1:28">
      <c r="A86" s="616"/>
      <c r="B86" s="616"/>
      <c r="C86" s="616"/>
      <c r="D86" s="616" t="s">
        <v>700</v>
      </c>
      <c r="E86" s="616"/>
      <c r="F86" s="616"/>
      <c r="G86" s="616">
        <v>24978</v>
      </c>
      <c r="H86" s="616"/>
      <c r="I86" s="616"/>
      <c r="J86" s="616"/>
      <c r="K86" s="616"/>
      <c r="L86" s="616"/>
      <c r="M86" s="616"/>
      <c r="N86" s="616">
        <v>10367</v>
      </c>
      <c r="O86" s="616"/>
      <c r="P86" s="616"/>
      <c r="Q86" s="616"/>
      <c r="R86" s="616"/>
      <c r="S86" s="616"/>
      <c r="T86" s="616"/>
      <c r="U86" s="616"/>
      <c r="V86" s="616"/>
      <c r="AB86" s="34"/>
    </row>
    <row r="87" spans="1:28">
      <c r="A87" s="616"/>
      <c r="B87" s="616"/>
      <c r="C87" s="616"/>
      <c r="D87" s="616" t="s">
        <v>701</v>
      </c>
      <c r="E87" s="616"/>
      <c r="F87" s="616"/>
      <c r="G87" s="616">
        <v>2748</v>
      </c>
      <c r="H87" s="616"/>
      <c r="I87" s="616"/>
      <c r="J87" s="616"/>
      <c r="K87" s="616"/>
      <c r="L87" s="616"/>
      <c r="M87" s="616"/>
      <c r="N87" s="616">
        <v>1717</v>
      </c>
      <c r="O87" s="616"/>
      <c r="P87" s="616"/>
      <c r="Q87" s="616"/>
      <c r="R87" s="616"/>
      <c r="S87" s="616"/>
      <c r="T87" s="616"/>
      <c r="U87" s="616"/>
      <c r="V87" s="616"/>
      <c r="AB87" s="34"/>
    </row>
    <row r="88" spans="1:28">
      <c r="A88" s="616"/>
      <c r="B88" s="616"/>
      <c r="C88" s="616"/>
      <c r="D88" s="616"/>
      <c r="E88" s="616"/>
      <c r="F88" s="616"/>
      <c r="G88" s="616">
        <v>1246</v>
      </c>
      <c r="H88" s="616"/>
      <c r="I88" s="616"/>
      <c r="J88" s="616"/>
      <c r="K88" s="616"/>
      <c r="L88" s="616"/>
      <c r="M88" s="616"/>
      <c r="N88" s="616">
        <v>108</v>
      </c>
      <c r="O88" s="616"/>
      <c r="P88" s="616"/>
      <c r="Q88" s="616"/>
      <c r="R88" s="616"/>
      <c r="S88" s="616"/>
      <c r="T88" s="616"/>
      <c r="U88" s="616"/>
      <c r="V88" s="616"/>
      <c r="AB88" s="34"/>
    </row>
    <row r="89" spans="1:28">
      <c r="A89" s="616"/>
      <c r="B89" s="616"/>
      <c r="C89" s="616"/>
      <c r="D89" s="616"/>
      <c r="E89" s="616"/>
      <c r="F89" s="616"/>
      <c r="G89" s="616">
        <v>207</v>
      </c>
      <c r="H89" s="616"/>
      <c r="I89" s="616"/>
      <c r="J89" s="616"/>
      <c r="K89" s="616"/>
      <c r="L89" s="616"/>
      <c r="M89" s="616"/>
      <c r="N89" s="616">
        <v>11</v>
      </c>
      <c r="O89" s="616"/>
      <c r="P89" s="616"/>
      <c r="Q89" s="616"/>
      <c r="R89" s="616"/>
      <c r="S89" s="616"/>
      <c r="T89" s="616"/>
      <c r="U89" s="616"/>
      <c r="V89" s="616"/>
      <c r="AB89" s="34"/>
    </row>
    <row r="90" spans="1:28">
      <c r="A90" s="616"/>
      <c r="B90" s="616"/>
      <c r="C90" s="616"/>
      <c r="D90" s="616"/>
      <c r="E90" s="616"/>
      <c r="F90" s="616"/>
      <c r="G90" s="616">
        <v>48</v>
      </c>
      <c r="H90" s="616"/>
      <c r="I90" s="616"/>
      <c r="J90" s="616"/>
      <c r="K90" s="616"/>
      <c r="L90" s="616"/>
      <c r="M90" s="616"/>
      <c r="N90" s="616">
        <v>5760</v>
      </c>
      <c r="O90" s="616"/>
      <c r="P90" s="616"/>
      <c r="Q90" s="616"/>
      <c r="R90" s="616"/>
      <c r="S90" s="616"/>
      <c r="T90" s="616"/>
      <c r="U90" s="616"/>
      <c r="V90" s="616"/>
      <c r="W90" s="616"/>
      <c r="X90" s="616"/>
      <c r="Y90" s="616"/>
      <c r="Z90" s="616"/>
      <c r="AA90" s="616"/>
      <c r="AB90" s="34"/>
    </row>
    <row r="91" spans="1:28">
      <c r="A91" s="616"/>
      <c r="B91" s="616"/>
      <c r="C91" s="616"/>
      <c r="D91" s="616"/>
      <c r="E91" s="616"/>
      <c r="F91" s="616"/>
      <c r="G91" s="616">
        <v>36</v>
      </c>
      <c r="H91" s="616"/>
      <c r="I91" s="616"/>
      <c r="J91" s="616"/>
      <c r="K91" s="616"/>
      <c r="L91" s="616"/>
      <c r="M91" s="616"/>
      <c r="N91" s="616">
        <v>279</v>
      </c>
      <c r="O91" s="616"/>
      <c r="P91" s="616"/>
      <c r="Q91" s="616"/>
      <c r="R91" s="616"/>
      <c r="S91" s="616"/>
      <c r="T91" s="616"/>
      <c r="U91" s="616"/>
      <c r="V91" s="616"/>
    </row>
    <row r="92" spans="1:28">
      <c r="A92" s="616"/>
      <c r="B92" s="616"/>
      <c r="C92" s="616"/>
      <c r="D92" s="616"/>
      <c r="E92" s="616"/>
      <c r="F92" s="616"/>
      <c r="G92" s="616">
        <v>7337</v>
      </c>
      <c r="H92" s="616"/>
      <c r="I92" s="616"/>
      <c r="J92" s="616"/>
      <c r="K92" s="616"/>
      <c r="L92" s="616"/>
      <c r="M92" s="616"/>
      <c r="N92" s="616">
        <v>60</v>
      </c>
      <c r="O92" s="616"/>
      <c r="P92" s="616"/>
      <c r="Q92" s="616"/>
      <c r="R92" s="616"/>
      <c r="S92" s="616"/>
      <c r="T92" s="616"/>
      <c r="U92" s="616"/>
      <c r="V92" s="616"/>
    </row>
    <row r="93" spans="1:28">
      <c r="A93" s="616"/>
      <c r="B93" s="616"/>
      <c r="C93" s="616"/>
      <c r="D93" s="616"/>
      <c r="E93" s="616"/>
      <c r="F93" s="616"/>
      <c r="G93" s="616">
        <v>518</v>
      </c>
      <c r="H93" s="616"/>
      <c r="I93" s="616"/>
      <c r="J93" s="616"/>
      <c r="K93" s="616"/>
      <c r="L93" s="616"/>
      <c r="M93" s="616"/>
      <c r="N93" s="616">
        <v>2603</v>
      </c>
      <c r="O93" s="616"/>
      <c r="P93" s="616"/>
      <c r="Q93" s="616"/>
      <c r="R93" s="616"/>
      <c r="S93" s="616"/>
      <c r="T93" s="616"/>
      <c r="U93" s="616"/>
      <c r="V93" s="616"/>
    </row>
    <row r="94" spans="1:28">
      <c r="A94" s="616"/>
      <c r="B94" s="616"/>
      <c r="C94" s="616"/>
      <c r="D94" s="616"/>
      <c r="E94" s="616"/>
      <c r="F94" s="616"/>
      <c r="G94" s="616">
        <v>109</v>
      </c>
      <c r="H94" s="616"/>
      <c r="I94" s="616"/>
      <c r="J94" s="616"/>
      <c r="K94" s="616"/>
      <c r="L94" s="616"/>
      <c r="M94" s="616"/>
      <c r="N94" s="616">
        <v>2091</v>
      </c>
      <c r="O94" s="616"/>
      <c r="P94" s="616"/>
      <c r="Q94" s="616"/>
      <c r="R94" s="616"/>
      <c r="S94" s="616"/>
      <c r="T94" s="616"/>
      <c r="U94" s="616"/>
      <c r="V94" s="616"/>
    </row>
    <row r="95" spans="1:28">
      <c r="A95" s="616"/>
      <c r="B95" s="616"/>
      <c r="C95" s="616"/>
      <c r="D95" s="616"/>
      <c r="E95" s="616"/>
      <c r="F95" s="616"/>
      <c r="G95" s="616">
        <v>-1021</v>
      </c>
      <c r="H95" s="616"/>
      <c r="I95" s="616"/>
      <c r="J95" s="616"/>
      <c r="K95" s="616"/>
      <c r="L95" s="616"/>
      <c r="M95" s="616"/>
      <c r="N95" s="616"/>
      <c r="O95" s="616"/>
      <c r="P95" s="616"/>
      <c r="Q95" s="616"/>
      <c r="R95" s="616"/>
      <c r="S95" s="616"/>
      <c r="T95" s="616"/>
      <c r="U95" s="616"/>
      <c r="V95" s="616"/>
    </row>
    <row r="96" spans="1:28">
      <c r="A96" s="616"/>
      <c r="B96" s="616"/>
      <c r="C96" s="616"/>
      <c r="D96" s="616"/>
      <c r="E96" s="616"/>
      <c r="F96" s="616"/>
      <c r="G96" s="616">
        <v>2925</v>
      </c>
      <c r="H96" s="616"/>
      <c r="I96" s="616"/>
      <c r="J96" s="616"/>
      <c r="K96" s="616"/>
      <c r="L96" s="616"/>
      <c r="M96" s="616"/>
      <c r="N96" s="616"/>
      <c r="O96" s="616"/>
      <c r="P96" s="616"/>
      <c r="Q96" s="616"/>
      <c r="R96" s="616"/>
      <c r="S96" s="616"/>
      <c r="T96" s="616"/>
      <c r="U96" s="616"/>
      <c r="V96" s="616"/>
    </row>
    <row r="97" spans="1:28">
      <c r="A97" s="616"/>
      <c r="B97" s="616"/>
      <c r="C97" s="616"/>
      <c r="D97" s="616"/>
      <c r="E97" s="616"/>
      <c r="F97" s="616"/>
      <c r="G97" s="616"/>
      <c r="H97" s="616"/>
      <c r="I97" s="616"/>
      <c r="J97" s="616"/>
      <c r="K97" s="616"/>
      <c r="L97" s="616"/>
      <c r="M97" s="616"/>
      <c r="N97" s="616"/>
      <c r="O97" s="616"/>
      <c r="P97" s="616"/>
      <c r="Q97" s="616"/>
      <c r="R97" s="616"/>
      <c r="S97" s="616"/>
      <c r="T97" s="616"/>
      <c r="U97" s="616"/>
      <c r="V97" s="616"/>
    </row>
    <row r="98" spans="1:28">
      <c r="A98" s="616"/>
      <c r="B98" s="616"/>
      <c r="C98" s="616"/>
      <c r="D98" s="616"/>
      <c r="E98" s="616"/>
      <c r="F98" s="616"/>
      <c r="G98" s="616">
        <f>SUM(G86:G97)</f>
        <v>39131</v>
      </c>
      <c r="H98" s="616"/>
      <c r="I98" s="616"/>
      <c r="J98" s="616"/>
      <c r="K98" s="616"/>
      <c r="L98" s="616"/>
      <c r="M98" s="616"/>
      <c r="N98" s="616">
        <f>SUM(N86:N97)</f>
        <v>22996</v>
      </c>
      <c r="O98" s="616"/>
      <c r="P98" s="616"/>
      <c r="Q98" s="616"/>
      <c r="R98" s="616"/>
      <c r="S98" s="616"/>
      <c r="T98" s="616"/>
      <c r="U98" s="616"/>
      <c r="V98" s="616"/>
    </row>
    <row r="99" spans="1:28">
      <c r="A99" s="616"/>
      <c r="B99" s="616"/>
      <c r="C99" s="616"/>
      <c r="D99" s="616"/>
      <c r="E99" s="616"/>
      <c r="F99" s="616"/>
      <c r="G99" s="702">
        <f>H57</f>
        <v>-39131</v>
      </c>
      <c r="H99" s="616"/>
      <c r="I99" s="616"/>
      <c r="J99" s="616"/>
      <c r="K99" s="616"/>
      <c r="L99" s="616"/>
      <c r="M99" s="616"/>
      <c r="N99" s="702">
        <f>O57</f>
        <v>-22996</v>
      </c>
      <c r="O99" s="616"/>
      <c r="P99" s="616"/>
      <c r="Q99" s="616"/>
      <c r="R99" s="616"/>
      <c r="S99" s="616"/>
      <c r="T99" s="616"/>
      <c r="U99" s="616"/>
      <c r="V99" s="616"/>
      <c r="W99" s="616"/>
      <c r="X99" s="616"/>
      <c r="Y99" s="616"/>
      <c r="Z99" s="616"/>
      <c r="AA99" s="616"/>
      <c r="AB99" s="34"/>
    </row>
    <row r="100" spans="1:28">
      <c r="A100" s="616"/>
      <c r="B100" s="616"/>
      <c r="C100" s="616"/>
      <c r="D100" s="616"/>
      <c r="E100" s="616"/>
      <c r="F100" s="616"/>
      <c r="G100" s="616">
        <f>G98+G99</f>
        <v>0</v>
      </c>
      <c r="H100" s="616"/>
      <c r="I100" s="616"/>
      <c r="J100" s="616"/>
      <c r="K100" s="616"/>
      <c r="L100" s="616"/>
      <c r="M100" s="616"/>
      <c r="N100" s="616">
        <f>N98+N99</f>
        <v>0</v>
      </c>
      <c r="O100" s="616"/>
      <c r="P100" s="616"/>
      <c r="Q100" s="616"/>
      <c r="R100" s="616"/>
      <c r="S100" s="616"/>
      <c r="T100" s="616"/>
      <c r="U100" s="616"/>
      <c r="V100" s="616"/>
    </row>
    <row r="101" spans="1:28">
      <c r="A101" s="616"/>
      <c r="B101" s="616"/>
      <c r="C101" s="616"/>
      <c r="D101" s="616"/>
      <c r="E101" s="616"/>
      <c r="F101" s="616"/>
      <c r="G101" s="616"/>
      <c r="H101" s="616"/>
      <c r="I101" s="616"/>
      <c r="J101" s="616"/>
      <c r="K101" s="616"/>
      <c r="L101" s="616"/>
      <c r="M101" s="616"/>
      <c r="N101" s="616"/>
      <c r="O101" s="616"/>
      <c r="P101" s="616"/>
      <c r="Q101" s="616"/>
      <c r="R101" s="616"/>
      <c r="S101" s="616"/>
      <c r="T101" s="616"/>
      <c r="U101" s="616"/>
      <c r="V101" s="616"/>
    </row>
    <row r="102" spans="1:28" ht="15.75">
      <c r="A102" s="1009" t="s">
        <v>695</v>
      </c>
      <c r="B102" s="606"/>
      <c r="C102" s="118"/>
      <c r="D102" s="118"/>
      <c r="E102" s="520"/>
      <c r="F102" s="2"/>
      <c r="G102" s="2"/>
      <c r="H102" s="2"/>
      <c r="I102" s="2"/>
      <c r="J102" s="2"/>
      <c r="K102" s="2"/>
      <c r="L102" s="9"/>
      <c r="M102" s="9"/>
      <c r="N102" s="9"/>
      <c r="O102" s="616"/>
      <c r="P102" s="616"/>
      <c r="Q102" s="616"/>
      <c r="R102" s="616"/>
      <c r="S102" s="616"/>
      <c r="T102" s="616"/>
      <c r="U102" s="616"/>
      <c r="V102" s="616"/>
    </row>
    <row r="103" spans="1:28">
      <c r="A103" s="729"/>
      <c r="B103" s="34" t="s">
        <v>708</v>
      </c>
      <c r="C103" s="729"/>
      <c r="D103" s="729"/>
      <c r="E103" s="729"/>
      <c r="F103" s="729"/>
      <c r="G103" s="729"/>
      <c r="H103" s="729"/>
      <c r="I103" s="729"/>
      <c r="J103" s="729"/>
      <c r="K103" s="729"/>
      <c r="L103" s="729">
        <v>239235</v>
      </c>
      <c r="M103" s="729">
        <v>243110</v>
      </c>
      <c r="N103" s="616">
        <v>199849</v>
      </c>
      <c r="O103" s="616"/>
      <c r="P103" s="616"/>
      <c r="Q103" s="616"/>
      <c r="R103" s="616"/>
      <c r="S103" s="616"/>
      <c r="T103" s="616"/>
      <c r="U103" s="616"/>
      <c r="V103" s="616"/>
    </row>
    <row r="104" spans="1:28">
      <c r="A104" s="729"/>
      <c r="B104" s="34" t="s">
        <v>709</v>
      </c>
      <c r="C104" s="729"/>
      <c r="D104" s="729"/>
      <c r="E104" s="729"/>
      <c r="F104" s="729"/>
      <c r="G104" s="729"/>
      <c r="H104" s="729"/>
      <c r="I104" s="729"/>
      <c r="J104" s="729"/>
      <c r="K104" s="729"/>
      <c r="L104" s="729">
        <v>-21007</v>
      </c>
      <c r="M104" s="729">
        <v>613726</v>
      </c>
      <c r="N104" s="616">
        <v>0</v>
      </c>
      <c r="O104" s="616"/>
      <c r="P104" s="616"/>
      <c r="Q104" s="616"/>
      <c r="R104" s="616"/>
      <c r="S104" s="616"/>
      <c r="T104" s="616"/>
      <c r="U104" s="616"/>
      <c r="V104" s="616"/>
    </row>
    <row r="105" spans="1:28" ht="13.5" thickBot="1">
      <c r="A105" s="729"/>
      <c r="B105" s="34" t="s">
        <v>128</v>
      </c>
      <c r="C105" s="729"/>
      <c r="D105" s="729"/>
      <c r="E105" s="729"/>
      <c r="F105" s="737">
        <f t="shared" ref="F105:N105" si="9">SUM(F103:F104)</f>
        <v>0</v>
      </c>
      <c r="G105" s="737">
        <f t="shared" si="9"/>
        <v>0</v>
      </c>
      <c r="H105" s="737">
        <f t="shared" si="9"/>
        <v>0</v>
      </c>
      <c r="I105" s="737">
        <f t="shared" si="9"/>
        <v>0</v>
      </c>
      <c r="J105" s="737">
        <f t="shared" si="9"/>
        <v>0</v>
      </c>
      <c r="K105" s="737">
        <f t="shared" si="9"/>
        <v>0</v>
      </c>
      <c r="L105" s="737">
        <f t="shared" si="9"/>
        <v>218228</v>
      </c>
      <c r="M105" s="737">
        <f t="shared" si="9"/>
        <v>856836</v>
      </c>
      <c r="N105" s="725">
        <f t="shared" si="9"/>
        <v>199849</v>
      </c>
      <c r="O105" s="616"/>
      <c r="P105" s="616"/>
      <c r="Q105" s="616"/>
      <c r="R105" s="616"/>
      <c r="S105" s="616"/>
      <c r="T105" s="616"/>
      <c r="U105" s="616"/>
      <c r="V105" s="616"/>
    </row>
    <row r="106" spans="1:28" ht="13.5" thickTop="1">
      <c r="A106" s="729"/>
      <c r="B106" s="34"/>
      <c r="C106" s="729"/>
      <c r="D106" s="729"/>
      <c r="E106" s="729"/>
      <c r="F106" s="729"/>
      <c r="G106" s="729"/>
      <c r="H106" s="729"/>
      <c r="I106" s="729"/>
      <c r="J106" s="729"/>
      <c r="K106" s="729"/>
      <c r="L106" s="729"/>
      <c r="M106" s="729"/>
      <c r="N106" s="616"/>
      <c r="O106" s="616"/>
      <c r="P106" s="616"/>
      <c r="Q106" s="616"/>
      <c r="R106" s="616"/>
      <c r="S106" s="616"/>
      <c r="T106" s="616"/>
      <c r="U106" s="616"/>
      <c r="V106" s="616"/>
    </row>
    <row r="107" spans="1:28">
      <c r="A107" s="729"/>
      <c r="B107" s="34" t="s">
        <v>710</v>
      </c>
      <c r="C107" s="729"/>
      <c r="D107" s="729"/>
      <c r="E107" s="729"/>
      <c r="F107" s="729"/>
      <c r="G107" s="729"/>
      <c r="H107" s="729"/>
      <c r="I107" s="729"/>
      <c r="J107" s="729"/>
      <c r="K107" s="729"/>
      <c r="L107" s="729">
        <v>1563585</v>
      </c>
      <c r="M107" s="729">
        <v>2184067</v>
      </c>
      <c r="N107" s="616">
        <v>1775077</v>
      </c>
      <c r="O107" s="616"/>
      <c r="P107" s="616"/>
      <c r="Q107" s="616"/>
      <c r="R107" s="616"/>
      <c r="S107" s="616"/>
      <c r="T107" s="616"/>
      <c r="U107" s="616"/>
      <c r="V107" s="616"/>
    </row>
    <row r="108" spans="1:28">
      <c r="A108" s="729"/>
      <c r="B108" s="34" t="s">
        <v>711</v>
      </c>
      <c r="C108" s="729"/>
      <c r="D108" s="729"/>
      <c r="E108" s="729"/>
      <c r="F108" s="729"/>
      <c r="G108" s="729"/>
      <c r="H108" s="729"/>
      <c r="I108" s="729"/>
      <c r="J108" s="729"/>
      <c r="K108" s="729"/>
      <c r="L108" s="729">
        <v>92485</v>
      </c>
      <c r="M108" s="729">
        <v>38728</v>
      </c>
      <c r="N108" s="616">
        <v>0</v>
      </c>
      <c r="O108" s="616"/>
      <c r="P108" s="616"/>
      <c r="Q108" s="616"/>
      <c r="R108" s="616"/>
      <c r="S108" s="616"/>
      <c r="T108" s="616"/>
      <c r="U108" s="616"/>
      <c r="V108" s="616"/>
    </row>
    <row r="109" spans="1:28" ht="13.5" thickBot="1">
      <c r="A109" s="729"/>
      <c r="B109" s="34" t="s">
        <v>128</v>
      </c>
      <c r="C109" s="729"/>
      <c r="D109" s="729"/>
      <c r="E109" s="729"/>
      <c r="F109" s="737">
        <f t="shared" ref="F109:N109" si="10">SUM(F107:F108)</f>
        <v>0</v>
      </c>
      <c r="G109" s="737">
        <f t="shared" si="10"/>
        <v>0</v>
      </c>
      <c r="H109" s="737">
        <f t="shared" si="10"/>
        <v>0</v>
      </c>
      <c r="I109" s="737">
        <f t="shared" si="10"/>
        <v>0</v>
      </c>
      <c r="J109" s="737">
        <f t="shared" si="10"/>
        <v>0</v>
      </c>
      <c r="K109" s="737">
        <f t="shared" si="10"/>
        <v>0</v>
      </c>
      <c r="L109" s="737">
        <f t="shared" si="10"/>
        <v>1656070</v>
      </c>
      <c r="M109" s="737">
        <f t="shared" si="10"/>
        <v>2222795</v>
      </c>
      <c r="N109" s="725">
        <f t="shared" si="10"/>
        <v>1775077</v>
      </c>
      <c r="O109" s="616"/>
      <c r="P109" s="616"/>
      <c r="Q109" s="616"/>
      <c r="R109" s="616"/>
      <c r="S109" s="616"/>
      <c r="T109" s="616"/>
      <c r="U109" s="616"/>
      <c r="V109" s="616"/>
    </row>
    <row r="110" spans="1:28" ht="13.5" thickTop="1">
      <c r="A110" s="729"/>
      <c r="B110" s="34"/>
      <c r="C110" s="729"/>
      <c r="D110" s="729"/>
      <c r="E110" s="729"/>
      <c r="F110" s="729"/>
      <c r="G110" s="729"/>
      <c r="H110" s="729"/>
      <c r="I110" s="729"/>
      <c r="J110" s="729"/>
      <c r="K110" s="729"/>
      <c r="L110" s="729"/>
      <c r="M110" s="729"/>
      <c r="N110" s="616"/>
      <c r="O110" s="616"/>
      <c r="P110" s="616"/>
      <c r="Q110" s="616"/>
      <c r="R110" s="616"/>
      <c r="S110" s="616"/>
      <c r="T110" s="616"/>
      <c r="U110" s="616"/>
      <c r="V110" s="616"/>
    </row>
    <row r="111" spans="1:28">
      <c r="A111" s="729"/>
      <c r="B111" s="34" t="s">
        <v>712</v>
      </c>
      <c r="C111" s="729"/>
      <c r="D111" s="729"/>
      <c r="E111" s="729"/>
      <c r="F111" s="729"/>
      <c r="G111" s="729"/>
      <c r="H111" s="729"/>
      <c r="I111" s="729"/>
      <c r="J111" s="729"/>
      <c r="K111" s="729"/>
      <c r="L111" s="729">
        <v>31241</v>
      </c>
      <c r="M111" s="729">
        <v>37395</v>
      </c>
      <c r="N111" s="616">
        <v>56323</v>
      </c>
      <c r="O111" s="616"/>
      <c r="P111" s="616"/>
      <c r="Q111" s="616"/>
      <c r="R111" s="616"/>
      <c r="S111" s="616"/>
      <c r="T111" s="616"/>
      <c r="U111" s="616"/>
      <c r="V111" s="616"/>
    </row>
    <row r="112" spans="1:28">
      <c r="A112" s="729"/>
      <c r="B112" s="34" t="s">
        <v>713</v>
      </c>
      <c r="C112" s="729"/>
      <c r="D112" s="729"/>
      <c r="E112" s="729"/>
      <c r="F112" s="729"/>
      <c r="G112" s="729"/>
      <c r="H112" s="729"/>
      <c r="I112" s="729"/>
      <c r="J112" s="729"/>
      <c r="K112" s="729"/>
      <c r="L112" s="729">
        <v>60851</v>
      </c>
      <c r="M112" s="729">
        <v>32029</v>
      </c>
      <c r="N112" s="616">
        <v>0</v>
      </c>
      <c r="O112" s="616"/>
      <c r="P112" s="616"/>
      <c r="Q112" s="616"/>
      <c r="R112" s="616"/>
      <c r="S112" s="616"/>
      <c r="T112" s="616"/>
      <c r="U112" s="616"/>
      <c r="V112" s="616"/>
    </row>
    <row r="113" spans="1:27" ht="13.5" thickBot="1">
      <c r="A113" s="729"/>
      <c r="B113" s="34" t="s">
        <v>128</v>
      </c>
      <c r="C113" s="729"/>
      <c r="D113" s="729"/>
      <c r="E113" s="729"/>
      <c r="F113" s="737">
        <f t="shared" ref="F113:N113" si="11">SUM(F111:F112)</f>
        <v>0</v>
      </c>
      <c r="G113" s="737">
        <f t="shared" si="11"/>
        <v>0</v>
      </c>
      <c r="H113" s="737">
        <f t="shared" si="11"/>
        <v>0</v>
      </c>
      <c r="I113" s="737">
        <f t="shared" si="11"/>
        <v>0</v>
      </c>
      <c r="J113" s="737">
        <f t="shared" si="11"/>
        <v>0</v>
      </c>
      <c r="K113" s="737">
        <f t="shared" si="11"/>
        <v>0</v>
      </c>
      <c r="L113" s="737">
        <f t="shared" si="11"/>
        <v>92092</v>
      </c>
      <c r="M113" s="737">
        <f t="shared" si="11"/>
        <v>69424</v>
      </c>
      <c r="N113" s="725">
        <f t="shared" si="11"/>
        <v>56323</v>
      </c>
      <c r="O113" s="616"/>
      <c r="P113" s="616"/>
      <c r="Q113" s="616"/>
      <c r="R113" s="616"/>
      <c r="S113" s="616"/>
      <c r="T113" s="616"/>
      <c r="U113" s="616"/>
      <c r="V113" s="616"/>
    </row>
    <row r="114" spans="1:27" ht="13.5" thickTop="1">
      <c r="A114" s="729"/>
      <c r="B114" s="34"/>
      <c r="C114" s="729"/>
      <c r="D114" s="729"/>
      <c r="E114" s="729"/>
      <c r="F114" s="729"/>
      <c r="G114" s="729"/>
      <c r="H114" s="729"/>
      <c r="I114" s="729"/>
      <c r="J114" s="729"/>
      <c r="K114" s="729"/>
      <c r="L114" s="729"/>
      <c r="M114" s="729"/>
      <c r="N114" s="616"/>
      <c r="O114" s="616"/>
      <c r="P114" s="616"/>
      <c r="Q114" s="616"/>
      <c r="R114" s="616"/>
      <c r="S114" s="616"/>
      <c r="T114" s="616"/>
      <c r="U114" s="616"/>
      <c r="V114" s="616"/>
    </row>
    <row r="115" spans="1:27">
      <c r="A115" s="729"/>
      <c r="B115" s="34" t="s">
        <v>714</v>
      </c>
      <c r="C115" s="729"/>
      <c r="D115" s="729"/>
      <c r="E115" s="729"/>
      <c r="F115" s="729"/>
      <c r="G115" s="729"/>
      <c r="H115" s="729"/>
      <c r="I115" s="729"/>
      <c r="J115" s="729"/>
      <c r="K115" s="729"/>
      <c r="L115" s="729">
        <v>129626</v>
      </c>
      <c r="M115" s="729">
        <v>116693</v>
      </c>
      <c r="N115" s="616">
        <v>103761</v>
      </c>
      <c r="O115" s="616"/>
      <c r="P115" s="616"/>
      <c r="Q115" s="616"/>
      <c r="R115" s="616"/>
      <c r="S115" s="616"/>
      <c r="T115" s="616"/>
      <c r="U115" s="616"/>
      <c r="V115" s="616"/>
    </row>
    <row r="116" spans="1:27">
      <c r="A116" s="729"/>
      <c r="B116" s="34" t="s">
        <v>715</v>
      </c>
      <c r="C116" s="729"/>
      <c r="D116" s="729"/>
      <c r="E116" s="729"/>
      <c r="F116" s="729"/>
      <c r="G116" s="729"/>
      <c r="H116" s="729"/>
      <c r="I116" s="729"/>
      <c r="J116" s="729"/>
      <c r="K116" s="729"/>
      <c r="L116" s="729">
        <v>-15618</v>
      </c>
      <c r="M116" s="729">
        <v>-15832</v>
      </c>
      <c r="N116" s="616">
        <v>0</v>
      </c>
      <c r="O116" s="616"/>
      <c r="P116" s="616"/>
      <c r="Q116" s="616"/>
      <c r="R116" s="616"/>
      <c r="S116" s="616"/>
      <c r="T116" s="616"/>
      <c r="U116" s="616"/>
      <c r="V116" s="616"/>
    </row>
    <row r="117" spans="1:27">
      <c r="A117" s="729"/>
      <c r="B117" s="34" t="s">
        <v>128</v>
      </c>
      <c r="C117" s="729"/>
      <c r="D117" s="729"/>
      <c r="E117" s="729"/>
      <c r="F117" s="958">
        <f t="shared" ref="F117:N117" si="12">SUM(F115:F116)</f>
        <v>0</v>
      </c>
      <c r="G117" s="958">
        <f t="shared" si="12"/>
        <v>0</v>
      </c>
      <c r="H117" s="958">
        <f t="shared" si="12"/>
        <v>0</v>
      </c>
      <c r="I117" s="958">
        <f t="shared" si="12"/>
        <v>0</v>
      </c>
      <c r="J117" s="958">
        <f t="shared" si="12"/>
        <v>0</v>
      </c>
      <c r="K117" s="958">
        <f t="shared" si="12"/>
        <v>0</v>
      </c>
      <c r="L117" s="958">
        <f t="shared" si="12"/>
        <v>114008</v>
      </c>
      <c r="M117" s="958">
        <f t="shared" si="12"/>
        <v>100861</v>
      </c>
      <c r="N117" s="706">
        <f t="shared" si="12"/>
        <v>103761</v>
      </c>
      <c r="O117" s="616"/>
      <c r="P117" s="616"/>
      <c r="Q117" s="616"/>
      <c r="R117" s="616"/>
      <c r="S117" s="616"/>
      <c r="T117" s="616"/>
      <c r="U117" s="616"/>
      <c r="V117" s="616"/>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sheetData>
  <mergeCells count="6">
    <mergeCell ref="D50:E50"/>
    <mergeCell ref="F16:H16"/>
    <mergeCell ref="I16:K16"/>
    <mergeCell ref="A28:D28"/>
    <mergeCell ref="AA42:AB42"/>
    <mergeCell ref="W42:Z42"/>
  </mergeCells>
  <printOptions headings="1" gridLines="1"/>
  <pageMargins left="0.7" right="0.7" top="0.75" bottom="0.75" header="0.3" footer="0.3"/>
  <pageSetup paperSize="9" scale="59" fitToHeight="0" orientation="landscape" r:id="rId1"/>
  <headerFooter>
    <oddHeader>&amp;LDRAFT&amp;C&amp;"Arial MT,Bold"&amp;12Archives&amp;R&amp;D
&amp;T</oddHeader>
    <oddFooter>&amp;L&amp;P&amp;N&amp;R&amp;F</oddFooter>
  </headerFooter>
  <rowBreaks count="2" manualBreakCount="2">
    <brk id="41" max="27" man="1"/>
    <brk id="84" max="27" man="1"/>
  </rowBreaks>
  <ignoredErrors>
    <ignoredError sqref="G98 N98"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19DF-604A-487A-8DEB-03379B62393E}">
  <sheetPr>
    <pageSetUpPr fitToPage="1"/>
  </sheetPr>
  <dimension ref="A1:M82"/>
  <sheetViews>
    <sheetView tabSelected="1" view="pageBreakPreview" zoomScale="60" zoomScaleNormal="100" workbookViewId="0"/>
  </sheetViews>
  <sheetFormatPr defaultRowHeight="12.75"/>
  <cols>
    <col min="1" max="1" width="3.42578125" customWidth="1"/>
    <col min="2" max="2" width="15.140625" customWidth="1"/>
    <col min="3" max="3" width="33.140625" customWidth="1"/>
    <col min="4" max="4" width="11.42578125" customWidth="1"/>
    <col min="5" max="5" width="17.42578125" customWidth="1"/>
    <col min="7" max="7" width="6.28515625" customWidth="1"/>
    <col min="8" max="8" width="20.5703125" customWidth="1"/>
    <col min="9" max="10" width="10.7109375" customWidth="1"/>
    <col min="12" max="12" width="20.42578125" customWidth="1"/>
  </cols>
  <sheetData>
    <row r="1" spans="1:13">
      <c r="B1" s="1158"/>
      <c r="C1" s="1158"/>
      <c r="D1" s="1158"/>
      <c r="E1" s="1158"/>
      <c r="F1" s="1158"/>
      <c r="G1" s="1158"/>
      <c r="H1" s="1158"/>
      <c r="I1" s="1110"/>
      <c r="J1" s="1110"/>
      <c r="K1" s="1110"/>
      <c r="L1" s="1110"/>
      <c r="M1" s="1110"/>
    </row>
    <row r="2" spans="1:13" ht="15">
      <c r="B2" s="1485" t="s">
        <v>1518</v>
      </c>
      <c r="C2" s="1158"/>
      <c r="D2" s="1158"/>
      <c r="E2" s="1158"/>
      <c r="F2" s="1158"/>
      <c r="G2" s="1158"/>
      <c r="H2" s="1158"/>
      <c r="I2" s="1110"/>
      <c r="J2" s="1110"/>
      <c r="K2" s="1110"/>
      <c r="L2" s="1110"/>
      <c r="M2" s="1110"/>
    </row>
    <row r="3" spans="1:13">
      <c r="B3" s="1158"/>
      <c r="C3" s="1158"/>
      <c r="D3" s="1158"/>
      <c r="E3" s="1158"/>
      <c r="F3" s="1158"/>
      <c r="G3" s="1158"/>
      <c r="H3" s="1158"/>
      <c r="I3" s="1110"/>
      <c r="J3" s="1110"/>
      <c r="K3" s="1110"/>
      <c r="L3" s="1110"/>
      <c r="M3" s="1110"/>
    </row>
    <row r="4" spans="1:13" ht="18">
      <c r="A4" s="27"/>
      <c r="B4" s="1533" t="s">
        <v>0</v>
      </c>
      <c r="C4" s="1541"/>
      <c r="D4" s="1542"/>
      <c r="E4" s="1542"/>
      <c r="F4" s="1542"/>
      <c r="G4" s="1542"/>
      <c r="H4" s="1543"/>
      <c r="I4" s="1544" t="s">
        <v>1</v>
      </c>
      <c r="J4" s="1545"/>
      <c r="K4" s="1545"/>
      <c r="L4" s="1546"/>
      <c r="M4" s="1084">
        <v>1</v>
      </c>
    </row>
    <row r="5" spans="1:13" ht="18">
      <c r="A5" s="27"/>
      <c r="B5" s="1547" t="s">
        <v>2</v>
      </c>
      <c r="C5" s="1547"/>
      <c r="E5" s="1062"/>
      <c r="F5" s="1062"/>
      <c r="J5" s="27"/>
      <c r="K5" s="27"/>
      <c r="L5" s="27"/>
      <c r="M5" s="27"/>
    </row>
    <row r="6" spans="1:13" ht="26.25">
      <c r="A6" s="27"/>
      <c r="C6" s="1039"/>
      <c r="D6" s="27"/>
      <c r="E6" s="1548" t="s">
        <v>101</v>
      </c>
      <c r="F6" s="1549"/>
      <c r="G6" s="1549"/>
      <c r="H6" s="1550"/>
      <c r="I6" s="1110"/>
      <c r="J6" s="1110"/>
      <c r="K6" s="1551"/>
      <c r="L6" s="1551"/>
      <c r="M6" s="1110"/>
    </row>
    <row r="7" spans="1:13" ht="15.75">
      <c r="A7" s="27"/>
      <c r="B7" s="1537" t="s">
        <v>1473</v>
      </c>
      <c r="C7" s="1537"/>
      <c r="D7" s="1110"/>
      <c r="E7" s="1538"/>
      <c r="F7" s="1538"/>
      <c r="G7" s="1538"/>
      <c r="H7" s="1538"/>
      <c r="I7" s="1176"/>
      <c r="J7" s="1176"/>
      <c r="K7" s="1176"/>
      <c r="L7" s="1176"/>
      <c r="M7" s="1176"/>
    </row>
    <row r="8" spans="1:13">
      <c r="A8" s="27"/>
      <c r="D8" s="547"/>
      <c r="L8" s="547"/>
    </row>
    <row r="9" spans="1:13" ht="18">
      <c r="A9" s="27"/>
      <c r="B9" s="1032" t="s">
        <v>3</v>
      </c>
      <c r="C9" s="547"/>
      <c r="D9" s="547"/>
      <c r="H9" s="857" t="s">
        <v>1248</v>
      </c>
      <c r="I9" s="684"/>
      <c r="J9" s="684"/>
      <c r="K9" s="684"/>
      <c r="L9" s="857"/>
    </row>
    <row r="10" spans="1:13" ht="18">
      <c r="A10" s="27"/>
      <c r="B10" s="1033" t="s">
        <v>1241</v>
      </c>
      <c r="C10" s="4"/>
      <c r="D10" s="4"/>
      <c r="E10" s="4"/>
      <c r="F10" s="4"/>
      <c r="H10" s="684" t="s">
        <v>1249</v>
      </c>
      <c r="I10" s="684"/>
      <c r="J10" s="684"/>
      <c r="K10" s="684"/>
      <c r="L10" s="857"/>
    </row>
    <row r="11" spans="1:13" ht="15">
      <c r="A11" s="27"/>
      <c r="B11" s="547"/>
      <c r="C11" s="547"/>
      <c r="D11" s="547"/>
      <c r="H11" s="684" t="s">
        <v>1254</v>
      </c>
      <c r="I11" s="684"/>
      <c r="J11" s="684"/>
      <c r="K11" s="684"/>
      <c r="L11" s="857"/>
      <c r="M11" s="547"/>
    </row>
    <row r="12" spans="1:13" ht="15">
      <c r="A12" s="27"/>
      <c r="B12" s="1034" t="s">
        <v>1245</v>
      </c>
      <c r="C12" s="1034" t="s">
        <v>4</v>
      </c>
      <c r="D12" s="11"/>
      <c r="E12" s="11"/>
      <c r="F12" s="1063"/>
      <c r="G12" s="15"/>
      <c r="H12" s="1063"/>
      <c r="I12" s="1063"/>
      <c r="J12" s="1063"/>
      <c r="K12" s="1063"/>
      <c r="L12" s="11"/>
      <c r="M12" s="11"/>
    </row>
    <row r="13" spans="1:13" ht="15">
      <c r="A13" s="27"/>
      <c r="B13" s="99"/>
      <c r="C13" s="99"/>
      <c r="D13" s="12"/>
      <c r="E13" s="15"/>
      <c r="F13" s="15"/>
      <c r="G13" s="15"/>
      <c r="H13" s="15"/>
      <c r="I13" s="15"/>
      <c r="J13" s="15"/>
      <c r="K13" s="15"/>
      <c r="L13" s="12"/>
      <c r="M13" s="12"/>
    </row>
    <row r="14" spans="1:13" ht="15">
      <c r="A14" s="1102"/>
      <c r="B14" s="99" t="s">
        <v>1490</v>
      </c>
      <c r="D14" s="15"/>
      <c r="E14" s="15"/>
      <c r="F14" s="15"/>
      <c r="G14" s="1102"/>
      <c r="H14" s="99" t="s">
        <v>1246</v>
      </c>
      <c r="M14" s="27"/>
    </row>
    <row r="15" spans="1:13" ht="15">
      <c r="A15" s="1102"/>
      <c r="B15" s="99"/>
      <c r="D15" s="15"/>
      <c r="E15" s="15"/>
      <c r="F15" s="15"/>
      <c r="G15" s="15"/>
      <c r="H15" s="1100"/>
      <c r="I15" s="1035"/>
      <c r="J15" s="15"/>
      <c r="K15" s="15"/>
      <c r="M15" s="27"/>
    </row>
    <row r="16" spans="1:13" ht="15">
      <c r="A16" s="1102"/>
      <c r="B16" s="99" t="s">
        <v>6</v>
      </c>
      <c r="D16" s="15"/>
      <c r="E16" s="15"/>
      <c r="F16" s="15"/>
      <c r="G16" s="1098"/>
      <c r="H16" s="1099">
        <v>6.1</v>
      </c>
      <c r="I16" s="1035" t="s">
        <v>434</v>
      </c>
      <c r="M16" s="27"/>
    </row>
    <row r="17" spans="1:13" ht="14.25">
      <c r="A17" s="1102"/>
      <c r="B17" s="1036"/>
      <c r="C17" s="15"/>
      <c r="D17" s="15"/>
      <c r="E17" s="15"/>
      <c r="F17" s="15"/>
      <c r="G17" s="1098"/>
      <c r="H17" s="1099">
        <v>6.2</v>
      </c>
      <c r="I17" s="1035" t="s">
        <v>1255</v>
      </c>
      <c r="J17" s="15"/>
      <c r="K17" s="15"/>
      <c r="M17" s="27"/>
    </row>
    <row r="18" spans="1:13" ht="14.25">
      <c r="A18" s="1102"/>
      <c r="B18" s="1099">
        <v>2.1</v>
      </c>
      <c r="C18" s="1037" t="s">
        <v>1447</v>
      </c>
      <c r="D18" s="15"/>
      <c r="E18" s="15"/>
      <c r="F18" s="15"/>
      <c r="G18" s="1098"/>
      <c r="H18" s="1082">
        <v>6.3</v>
      </c>
      <c r="I18" s="22" t="s">
        <v>444</v>
      </c>
      <c r="M18" s="27"/>
    </row>
    <row r="19" spans="1:13" ht="14.25">
      <c r="A19" s="1102"/>
      <c r="B19" s="1099">
        <v>2.2000000000000002</v>
      </c>
      <c r="C19" s="1037" t="s">
        <v>1478</v>
      </c>
      <c r="D19" s="15"/>
      <c r="E19" s="15"/>
      <c r="F19" s="15"/>
      <c r="G19" s="1098"/>
      <c r="H19" s="1099">
        <v>6.4</v>
      </c>
      <c r="I19" s="22" t="s">
        <v>1437</v>
      </c>
      <c r="J19" s="15"/>
      <c r="K19" s="15"/>
      <c r="M19" s="27"/>
    </row>
    <row r="20" spans="1:13" ht="14.25">
      <c r="A20" s="1102"/>
      <c r="B20" s="1099"/>
      <c r="C20" s="1037"/>
      <c r="D20" s="15"/>
      <c r="E20" s="15"/>
      <c r="F20" s="15"/>
      <c r="G20" s="1098"/>
      <c r="H20" s="1110"/>
      <c r="M20" s="27"/>
    </row>
    <row r="21" spans="1:13" ht="14.25">
      <c r="A21" s="1102"/>
      <c r="B21" s="1099">
        <v>2.2999999999999998</v>
      </c>
      <c r="C21" s="1038" t="s">
        <v>11</v>
      </c>
      <c r="D21" s="15"/>
      <c r="E21" s="15"/>
      <c r="F21" s="15"/>
      <c r="G21" s="1098"/>
      <c r="H21" s="1099">
        <v>7</v>
      </c>
      <c r="I21" s="1035" t="s">
        <v>1247</v>
      </c>
      <c r="M21" s="27"/>
    </row>
    <row r="22" spans="1:13" ht="14.25">
      <c r="A22" s="1102"/>
      <c r="B22" s="1099">
        <v>2.4</v>
      </c>
      <c r="C22" s="1038" t="s">
        <v>1231</v>
      </c>
      <c r="D22" s="15"/>
      <c r="E22" s="15"/>
      <c r="F22" s="15"/>
      <c r="G22" s="1098"/>
      <c r="H22" s="1099"/>
      <c r="I22" s="1212"/>
      <c r="M22" s="27"/>
    </row>
    <row r="23" spans="1:13" ht="14.25">
      <c r="A23" s="1102"/>
      <c r="B23" s="1099">
        <v>2.5</v>
      </c>
      <c r="C23" s="1038" t="s">
        <v>132</v>
      </c>
      <c r="D23" s="15"/>
      <c r="E23" s="15"/>
      <c r="F23" s="15"/>
      <c r="G23" s="1098"/>
      <c r="H23" s="1098">
        <v>8</v>
      </c>
      <c r="I23" s="1035" t="s">
        <v>1454</v>
      </c>
      <c r="M23" s="27"/>
    </row>
    <row r="24" spans="1:13" ht="14.25">
      <c r="A24" s="1102"/>
      <c r="B24" s="1099">
        <v>2.6</v>
      </c>
      <c r="C24" s="1425" t="s">
        <v>1390</v>
      </c>
      <c r="D24" s="15"/>
      <c r="E24" s="15" t="s">
        <v>13</v>
      </c>
      <c r="F24" s="15"/>
      <c r="G24" s="1098"/>
      <c r="M24" s="27"/>
    </row>
    <row r="25" spans="1:13" ht="14.25">
      <c r="A25" s="1102"/>
      <c r="B25" s="1099">
        <v>2.7</v>
      </c>
      <c r="C25" s="1038" t="s">
        <v>1479</v>
      </c>
      <c r="D25" s="15"/>
      <c r="E25" s="15"/>
      <c r="F25" s="15"/>
      <c r="G25" s="1098"/>
      <c r="M25" s="27"/>
    </row>
    <row r="26" spans="1:13" ht="14.25">
      <c r="A26" s="1102"/>
      <c r="B26" s="1099"/>
      <c r="C26" s="1038"/>
      <c r="D26" s="15"/>
      <c r="E26" s="15"/>
      <c r="F26" s="15"/>
      <c r="G26" s="1098"/>
      <c r="M26" s="27"/>
    </row>
    <row r="27" spans="1:13" ht="14.25">
      <c r="A27" s="1102"/>
      <c r="B27" s="1099">
        <v>4</v>
      </c>
      <c r="C27" s="1037" t="s">
        <v>1449</v>
      </c>
      <c r="D27" s="15"/>
      <c r="E27" s="15"/>
      <c r="F27" s="15"/>
      <c r="G27" s="1098"/>
      <c r="H27" s="1212"/>
      <c r="M27" s="27"/>
    </row>
    <row r="28" spans="1:13" ht="14.25">
      <c r="A28" s="1102"/>
      <c r="B28" s="1099">
        <v>4.0999999999999996</v>
      </c>
      <c r="C28" s="1037" t="s">
        <v>1448</v>
      </c>
      <c r="D28" s="15"/>
      <c r="E28" s="15"/>
      <c r="F28" s="15"/>
      <c r="G28" s="1098"/>
      <c r="H28" s="1212"/>
      <c r="M28" s="27"/>
    </row>
    <row r="29" spans="1:13" ht="14.25">
      <c r="A29" s="1102"/>
      <c r="B29" s="1099"/>
      <c r="D29" s="15"/>
      <c r="E29" s="15"/>
      <c r="F29" s="15"/>
      <c r="G29" s="1098"/>
      <c r="H29" s="1212"/>
      <c r="M29" s="27"/>
    </row>
    <row r="30" spans="1:13" ht="15">
      <c r="A30" s="1365"/>
      <c r="B30" s="1424" t="s">
        <v>16</v>
      </c>
      <c r="E30" s="15"/>
      <c r="F30" s="15"/>
      <c r="G30" s="1098"/>
      <c r="H30" s="1212"/>
      <c r="M30" s="27"/>
    </row>
    <row r="31" spans="1:13" ht="14.25">
      <c r="A31" s="1102"/>
      <c r="B31" s="1099"/>
      <c r="C31" s="12"/>
      <c r="E31" s="15"/>
      <c r="F31" s="15"/>
      <c r="G31" s="1098"/>
      <c r="H31" s="1212"/>
      <c r="M31" s="27"/>
    </row>
    <row r="32" spans="1:13" ht="14.25">
      <c r="A32" s="1102"/>
      <c r="B32" s="1099">
        <v>3.1</v>
      </c>
      <c r="C32" s="1035" t="s">
        <v>1450</v>
      </c>
      <c r="E32" s="15"/>
      <c r="F32" s="15"/>
      <c r="G32" s="1098"/>
      <c r="H32" s="1212"/>
      <c r="M32" s="27"/>
    </row>
    <row r="33" spans="1:13" ht="14.25">
      <c r="A33" s="1102"/>
      <c r="B33" s="1099">
        <v>3.2</v>
      </c>
      <c r="C33" s="1035" t="s">
        <v>1451</v>
      </c>
      <c r="D33" s="15"/>
      <c r="E33" s="15"/>
      <c r="F33" s="15"/>
      <c r="G33" s="1098"/>
      <c r="H33" s="1212"/>
      <c r="M33" s="27"/>
    </row>
    <row r="34" spans="1:13" ht="14.25">
      <c r="A34" s="1102"/>
      <c r="B34" s="1099"/>
      <c r="C34" s="1035"/>
      <c r="D34" s="15"/>
      <c r="E34" s="15"/>
      <c r="F34" s="15"/>
      <c r="G34" s="1098"/>
      <c r="H34" s="1212"/>
      <c r="M34" s="27"/>
    </row>
    <row r="35" spans="1:13" ht="14.25">
      <c r="A35" s="1102"/>
      <c r="B35" s="1099" t="s">
        <v>1460</v>
      </c>
      <c r="C35" s="1038" t="s">
        <v>22</v>
      </c>
      <c r="D35" s="15"/>
      <c r="E35" s="15"/>
      <c r="F35" s="15"/>
      <c r="G35" s="1098"/>
      <c r="M35" s="27"/>
    </row>
    <row r="36" spans="1:13" ht="14.25">
      <c r="A36" s="1102"/>
      <c r="B36" s="1099" t="s">
        <v>1461</v>
      </c>
      <c r="C36" s="1038" t="s">
        <v>1480</v>
      </c>
      <c r="D36" s="15"/>
      <c r="E36" s="15"/>
      <c r="F36" s="15"/>
      <c r="G36" s="1098"/>
      <c r="M36" s="27"/>
    </row>
    <row r="37" spans="1:13" ht="14.25">
      <c r="A37" s="1102"/>
      <c r="B37" s="1099">
        <v>3.4</v>
      </c>
      <c r="C37" s="1038" t="s">
        <v>1030</v>
      </c>
      <c r="D37" s="15"/>
      <c r="E37" s="15"/>
      <c r="F37" s="15"/>
      <c r="G37" s="1098"/>
      <c r="M37" s="27"/>
    </row>
    <row r="38" spans="1:13" ht="14.25">
      <c r="A38" s="1102"/>
      <c r="B38" s="1099">
        <v>3.5</v>
      </c>
      <c r="C38" s="1038" t="s">
        <v>1453</v>
      </c>
      <c r="D38" s="15"/>
      <c r="E38" s="15"/>
      <c r="F38" s="15"/>
      <c r="G38" s="1098"/>
      <c r="M38" s="27"/>
    </row>
    <row r="39" spans="1:13" ht="14.25">
      <c r="A39" s="1102"/>
      <c r="B39" s="1099">
        <v>3.6</v>
      </c>
      <c r="C39" s="1038" t="s">
        <v>5</v>
      </c>
      <c r="D39" s="15"/>
      <c r="E39" s="15"/>
      <c r="F39" s="15"/>
      <c r="G39" s="1098"/>
      <c r="M39" s="12"/>
    </row>
    <row r="40" spans="1:13" ht="14.25">
      <c r="A40" s="1102"/>
      <c r="B40" s="1099" t="s">
        <v>1462</v>
      </c>
      <c r="C40" s="1038" t="s">
        <v>1481</v>
      </c>
      <c r="D40" s="15"/>
      <c r="E40" s="15"/>
      <c r="F40" s="15"/>
      <c r="M40" s="12"/>
    </row>
    <row r="41" spans="1:13" ht="14.25">
      <c r="A41" s="1102"/>
      <c r="B41" s="1099" t="s">
        <v>1463</v>
      </c>
      <c r="C41" s="1038" t="s">
        <v>1482</v>
      </c>
      <c r="D41" s="15"/>
      <c r="E41" s="1423"/>
      <c r="F41" s="1423"/>
      <c r="M41" s="12"/>
    </row>
    <row r="42" spans="1:13" ht="14.25">
      <c r="A42" s="1102"/>
      <c r="B42" s="1099" t="s">
        <v>1464</v>
      </c>
      <c r="C42" s="1038" t="s">
        <v>1483</v>
      </c>
      <c r="D42" s="15"/>
      <c r="E42" s="1423"/>
      <c r="F42" s="1423"/>
    </row>
    <row r="43" spans="1:13" ht="14.25">
      <c r="A43" s="1102"/>
      <c r="B43" s="1099">
        <v>3.8</v>
      </c>
      <c r="C43" s="1038" t="s">
        <v>12</v>
      </c>
      <c r="D43" s="15"/>
      <c r="E43" s="15"/>
      <c r="F43" s="15"/>
      <c r="J43" s="15"/>
      <c r="M43" s="15"/>
    </row>
    <row r="44" spans="1:13" ht="14.25">
      <c r="A44" s="1102"/>
      <c r="B44" s="1099">
        <v>3.9</v>
      </c>
      <c r="C44" s="1038" t="s">
        <v>263</v>
      </c>
      <c r="D44" s="15"/>
      <c r="E44" s="15"/>
      <c r="F44" s="15"/>
      <c r="G44" s="1099"/>
      <c r="H44" s="1038"/>
      <c r="M44" s="15"/>
    </row>
    <row r="45" spans="1:13" ht="14.25">
      <c r="B45" s="1110"/>
      <c r="E45" s="15"/>
      <c r="F45" s="15"/>
      <c r="H45" s="1099"/>
      <c r="I45" s="1038"/>
      <c r="M45" s="15"/>
    </row>
    <row r="46" spans="1:13" ht="14.25">
      <c r="B46" s="1099" t="s">
        <v>1484</v>
      </c>
      <c r="C46" s="1037" t="s">
        <v>1457</v>
      </c>
      <c r="E46" s="15"/>
      <c r="F46" s="15"/>
      <c r="H46" s="1099"/>
      <c r="M46" s="15"/>
    </row>
    <row r="47" spans="1:13" ht="14.25">
      <c r="B47" s="1099" t="s">
        <v>1485</v>
      </c>
      <c r="C47" s="1037" t="s">
        <v>1486</v>
      </c>
      <c r="E47" s="15"/>
      <c r="F47" s="15"/>
      <c r="H47" s="1099"/>
      <c r="M47" s="15"/>
    </row>
    <row r="48" spans="1:13" ht="13.5" thickBot="1">
      <c r="A48" s="984"/>
      <c r="B48" s="984"/>
      <c r="C48" s="984"/>
      <c r="D48" s="984"/>
      <c r="E48" s="984"/>
      <c r="F48" s="984"/>
      <c r="G48" s="1177"/>
      <c r="H48" s="984"/>
      <c r="I48" s="984"/>
      <c r="J48" s="984"/>
      <c r="K48" s="984"/>
      <c r="L48" s="984"/>
      <c r="M48" s="984"/>
    </row>
    <row r="49" spans="1:13" ht="15.75" thickBot="1">
      <c r="A49" s="1110"/>
      <c r="B49" s="1073"/>
      <c r="C49" s="1073"/>
      <c r="D49" s="1073"/>
      <c r="E49" s="1073"/>
      <c r="F49" s="1073"/>
      <c r="G49" s="1073"/>
      <c r="H49" s="1073"/>
      <c r="I49" s="1073"/>
      <c r="J49" s="1073"/>
      <c r="K49" s="1073"/>
      <c r="L49" s="1073"/>
      <c r="M49" s="1073"/>
    </row>
    <row r="50" spans="1:13" ht="26.25">
      <c r="A50" s="1110"/>
      <c r="B50" s="1167" t="s">
        <v>0</v>
      </c>
      <c r="C50" s="1167"/>
      <c r="D50" s="1168"/>
      <c r="E50" s="1074"/>
      <c r="F50" s="1074"/>
      <c r="G50" s="1074"/>
      <c r="H50" s="1074"/>
      <c r="I50" s="1539" t="s">
        <v>26</v>
      </c>
      <c r="J50" s="1539"/>
      <c r="K50" s="1539"/>
      <c r="L50" s="1539"/>
      <c r="M50" s="1175"/>
    </row>
    <row r="51" spans="1:13" ht="15.75">
      <c r="B51" s="684"/>
      <c r="C51" s="684"/>
      <c r="D51" s="684"/>
      <c r="E51" s="684"/>
      <c r="F51" s="684"/>
      <c r="G51" s="684"/>
      <c r="H51" s="684"/>
      <c r="I51" s="684"/>
      <c r="J51" s="684"/>
      <c r="K51" s="684"/>
      <c r="L51" s="684"/>
      <c r="M51" s="1486"/>
    </row>
    <row r="52" spans="1:13" ht="15.75">
      <c r="B52" s="789" t="s">
        <v>27</v>
      </c>
      <c r="D52" s="684"/>
      <c r="E52" s="684"/>
      <c r="F52" s="684"/>
      <c r="G52" s="684"/>
      <c r="H52" s="684"/>
      <c r="I52" s="684"/>
      <c r="J52" s="684"/>
      <c r="K52" s="684"/>
      <c r="L52" s="1540" t="s">
        <v>1491</v>
      </c>
      <c r="M52" s="1540"/>
    </row>
    <row r="53" spans="1:13" ht="15.75">
      <c r="B53" s="172" t="s">
        <v>28</v>
      </c>
      <c r="D53" s="684"/>
      <c r="E53" s="684"/>
      <c r="F53" s="684"/>
      <c r="G53" s="684"/>
      <c r="H53" s="684"/>
      <c r="I53" s="684"/>
      <c r="J53" s="684"/>
      <c r="K53" s="684"/>
      <c r="L53" s="684"/>
      <c r="M53" s="684"/>
    </row>
    <row r="54" spans="1:13" ht="15">
      <c r="D54" s="684"/>
      <c r="E54" s="684"/>
      <c r="F54" s="684"/>
      <c r="G54" s="684"/>
      <c r="H54" s="684"/>
      <c r="I54" s="684"/>
      <c r="J54" s="684"/>
      <c r="K54" s="684"/>
      <c r="L54" s="684"/>
      <c r="M54" s="684"/>
    </row>
    <row r="55" spans="1:13" ht="15">
      <c r="B55" s="1263" t="s">
        <v>29</v>
      </c>
      <c r="D55" s="684"/>
      <c r="E55" s="684"/>
      <c r="F55" s="684"/>
      <c r="G55" s="684"/>
      <c r="H55" s="684"/>
      <c r="I55" s="684"/>
      <c r="J55" s="684"/>
      <c r="K55" s="684"/>
      <c r="L55" s="684"/>
      <c r="M55" s="684"/>
    </row>
    <row r="56" spans="1:13" ht="15">
      <c r="B56" s="1263" t="s">
        <v>30</v>
      </c>
      <c r="D56" s="684"/>
      <c r="E56" s="684"/>
      <c r="F56" s="684"/>
      <c r="G56" s="684"/>
      <c r="H56" s="684"/>
      <c r="I56" s="684"/>
      <c r="J56" s="684"/>
      <c r="K56" s="684"/>
      <c r="L56" s="684"/>
      <c r="M56" s="684"/>
    </row>
    <row r="57" spans="1:13" ht="15">
      <c r="B57" s="1263"/>
      <c r="D57" s="684"/>
      <c r="E57" s="684"/>
      <c r="F57" s="684"/>
      <c r="G57" s="684"/>
      <c r="H57" s="684"/>
      <c r="I57" s="684"/>
      <c r="J57" s="684"/>
      <c r="K57" s="684"/>
      <c r="L57" s="684"/>
      <c r="M57" s="684"/>
    </row>
    <row r="58" spans="1:13" ht="15">
      <c r="B58" s="1263" t="s">
        <v>31</v>
      </c>
      <c r="D58" s="684"/>
      <c r="E58" s="684"/>
      <c r="F58" s="684"/>
      <c r="G58" s="684"/>
      <c r="H58" s="684"/>
      <c r="I58" s="684"/>
      <c r="J58" s="684"/>
      <c r="K58" s="684"/>
      <c r="L58" s="684"/>
      <c r="M58" s="684"/>
    </row>
    <row r="59" spans="1:13" ht="15">
      <c r="B59" s="1263" t="s">
        <v>32</v>
      </c>
      <c r="D59" s="684"/>
      <c r="E59" s="684"/>
      <c r="F59" s="684"/>
      <c r="G59" s="684"/>
      <c r="H59" s="684"/>
      <c r="I59" s="684"/>
      <c r="J59" s="684"/>
      <c r="K59" s="684"/>
      <c r="L59" s="684"/>
      <c r="M59" s="684"/>
    </row>
    <row r="60" spans="1:13" ht="15">
      <c r="B60" s="1263"/>
      <c r="D60" s="684"/>
      <c r="E60" s="684"/>
      <c r="F60" s="684"/>
      <c r="G60" s="684"/>
      <c r="H60" s="684"/>
      <c r="I60" s="684"/>
      <c r="J60" s="684"/>
      <c r="K60" s="684"/>
      <c r="L60" s="684"/>
      <c r="M60" s="684"/>
    </row>
    <row r="61" spans="1:13" ht="15">
      <c r="B61" s="1263" t="s">
        <v>33</v>
      </c>
      <c r="D61" s="684"/>
      <c r="E61" s="684"/>
      <c r="F61" s="684"/>
      <c r="G61" s="684"/>
      <c r="H61" s="684"/>
      <c r="I61" s="684"/>
      <c r="J61" s="684"/>
      <c r="K61" s="684"/>
      <c r="L61" s="684"/>
      <c r="M61" s="684"/>
    </row>
    <row r="62" spans="1:13" ht="15">
      <c r="B62" s="1263" t="s">
        <v>34</v>
      </c>
      <c r="D62" s="684"/>
      <c r="E62" s="684"/>
      <c r="F62" s="684"/>
      <c r="G62" s="684"/>
      <c r="H62" s="684"/>
      <c r="I62" s="684"/>
      <c r="J62" s="684"/>
      <c r="K62" s="684"/>
      <c r="L62" s="684"/>
      <c r="M62" s="684"/>
    </row>
    <row r="63" spans="1:13" ht="15">
      <c r="B63" s="1263" t="s">
        <v>35</v>
      </c>
      <c r="D63" s="684"/>
      <c r="E63" s="684"/>
      <c r="F63" s="684"/>
      <c r="G63" s="684"/>
      <c r="H63" s="684"/>
      <c r="I63" s="684"/>
      <c r="J63" s="684"/>
      <c r="K63" s="684"/>
      <c r="L63" s="684"/>
      <c r="M63" s="684"/>
    </row>
    <row r="64" spans="1:13" ht="15.75">
      <c r="B64" s="1264"/>
      <c r="D64" s="684"/>
      <c r="E64" s="684"/>
      <c r="F64" s="684"/>
      <c r="G64" s="684"/>
      <c r="H64" s="684"/>
      <c r="I64" s="684"/>
      <c r="J64" s="684"/>
      <c r="K64" s="684"/>
      <c r="L64" s="684"/>
      <c r="M64" s="684"/>
    </row>
    <row r="65" spans="1:13" ht="15">
      <c r="B65" s="1263" t="s">
        <v>1242</v>
      </c>
      <c r="D65" s="684"/>
      <c r="E65" s="684"/>
      <c r="F65" s="684"/>
      <c r="G65" s="684"/>
      <c r="H65" s="684"/>
      <c r="I65" s="684"/>
      <c r="J65" s="684"/>
      <c r="K65" s="684"/>
      <c r="L65" s="684"/>
      <c r="M65" s="684"/>
    </row>
    <row r="66" spans="1:13" ht="15">
      <c r="B66" s="1263" t="s">
        <v>1366</v>
      </c>
      <c r="D66" s="684"/>
      <c r="E66" s="684"/>
      <c r="F66" s="684"/>
      <c r="G66" s="684"/>
      <c r="H66" s="684"/>
      <c r="I66" s="684"/>
      <c r="J66" s="684"/>
      <c r="K66" s="684"/>
      <c r="L66" s="684"/>
      <c r="M66" s="684"/>
    </row>
    <row r="67" spans="1:13" ht="15">
      <c r="B67" s="1263" t="s">
        <v>36</v>
      </c>
      <c r="D67" s="684"/>
      <c r="E67" s="684"/>
      <c r="F67" s="684"/>
      <c r="G67" s="684"/>
      <c r="H67" s="684"/>
      <c r="I67" s="684"/>
      <c r="J67" s="684"/>
      <c r="K67" s="684"/>
      <c r="L67" s="684"/>
      <c r="M67" s="684"/>
    </row>
    <row r="68" spans="1:13" ht="15">
      <c r="B68" s="1263"/>
      <c r="D68" s="684"/>
      <c r="E68" s="684"/>
      <c r="F68" s="684"/>
      <c r="G68" s="684"/>
      <c r="H68" s="684"/>
      <c r="I68" s="684"/>
      <c r="J68" s="684"/>
      <c r="K68" s="684"/>
      <c r="L68" s="684"/>
      <c r="M68" s="684"/>
    </row>
    <row r="69" spans="1:13" ht="15">
      <c r="B69" s="684" t="s">
        <v>1367</v>
      </c>
      <c r="D69" s="684"/>
      <c r="E69" s="684"/>
      <c r="F69" s="684"/>
      <c r="G69" s="684"/>
      <c r="H69" s="684"/>
      <c r="I69" s="684"/>
      <c r="J69" s="684"/>
      <c r="K69" s="684"/>
      <c r="L69" s="684"/>
      <c r="M69" s="684"/>
    </row>
    <row r="70" spans="1:13" ht="15">
      <c r="B70" s="1263"/>
      <c r="D70" s="684"/>
      <c r="E70" s="684"/>
      <c r="F70" s="684"/>
      <c r="G70" s="684"/>
      <c r="H70" s="684"/>
      <c r="I70" s="684"/>
      <c r="J70" s="684"/>
      <c r="K70" s="684"/>
      <c r="L70" s="684"/>
      <c r="M70" s="684"/>
    </row>
    <row r="71" spans="1:13" ht="15">
      <c r="B71" s="1265" t="s">
        <v>37</v>
      </c>
      <c r="D71" s="684"/>
      <c r="E71" s="684"/>
      <c r="F71" s="684"/>
      <c r="G71" s="684"/>
      <c r="H71" s="684"/>
      <c r="I71" s="684"/>
      <c r="J71" s="684"/>
      <c r="K71" s="684"/>
      <c r="L71" s="684"/>
      <c r="M71" s="684"/>
    </row>
    <row r="72" spans="1:13" ht="15">
      <c r="B72" s="1265" t="s">
        <v>38</v>
      </c>
      <c r="D72" s="684"/>
      <c r="E72" s="684"/>
      <c r="F72" s="684"/>
      <c r="G72" s="684"/>
      <c r="H72" s="684"/>
      <c r="I72" s="684"/>
      <c r="J72" s="684"/>
      <c r="K72" s="684"/>
      <c r="L72" s="684"/>
      <c r="M72" s="684"/>
    </row>
    <row r="73" spans="1:13" ht="15">
      <c r="B73" s="1265"/>
      <c r="C73" s="1265"/>
      <c r="D73" s="1265"/>
      <c r="E73" s="1265"/>
      <c r="F73" s="1265"/>
      <c r="G73" s="1265"/>
      <c r="H73" s="1265"/>
      <c r="I73" s="1265"/>
      <c r="J73" s="684"/>
      <c r="K73" s="684"/>
      <c r="L73" s="684"/>
      <c r="M73" s="684"/>
    </row>
    <row r="74" spans="1:13" ht="15">
      <c r="B74" s="1265" t="s">
        <v>1444</v>
      </c>
      <c r="C74" s="1265"/>
      <c r="D74" s="1265"/>
      <c r="E74" s="1265"/>
      <c r="F74" s="1265"/>
      <c r="G74" s="1265"/>
      <c r="H74" s="1265"/>
      <c r="I74" s="1265"/>
      <c r="J74" s="684"/>
      <c r="K74" s="684"/>
      <c r="L74" s="684"/>
      <c r="M74" s="684"/>
    </row>
    <row r="75" spans="1:13" ht="15">
      <c r="B75" s="1265" t="s">
        <v>1445</v>
      </c>
      <c r="C75" s="1265"/>
      <c r="D75" s="1265"/>
      <c r="E75" s="1265"/>
      <c r="F75" s="1265"/>
      <c r="G75" s="1265"/>
      <c r="H75" s="1265"/>
      <c r="I75" s="1265"/>
      <c r="J75" s="684"/>
      <c r="K75" s="684"/>
      <c r="L75" s="684"/>
      <c r="M75" s="684"/>
    </row>
    <row r="76" spans="1:13" ht="15">
      <c r="B76" s="1265" t="s">
        <v>1446</v>
      </c>
      <c r="C76" s="1265"/>
      <c r="D76" s="1265"/>
      <c r="E76" s="1265"/>
      <c r="F76" s="1265"/>
      <c r="G76" s="1265"/>
      <c r="H76" s="1265"/>
      <c r="I76" s="1265"/>
      <c r="J76" s="684"/>
      <c r="K76" s="684"/>
      <c r="L76" s="684"/>
      <c r="M76" s="684"/>
    </row>
    <row r="77" spans="1:13" ht="15">
      <c r="A77" s="27"/>
      <c r="B77" s="1265"/>
      <c r="C77" s="1265"/>
      <c r="D77" s="1265"/>
      <c r="E77" s="1265"/>
      <c r="F77" s="1265"/>
      <c r="G77" s="1265"/>
      <c r="H77" s="1265"/>
      <c r="I77" s="1265"/>
      <c r="J77" s="684"/>
      <c r="K77" s="684"/>
      <c r="L77" s="684"/>
      <c r="M77" s="684"/>
    </row>
    <row r="78" spans="1:13" ht="15">
      <c r="A78" s="27"/>
      <c r="B78" s="1265" t="s">
        <v>1455</v>
      </c>
      <c r="C78" s="1265"/>
      <c r="D78" s="1265"/>
      <c r="E78" s="1265"/>
      <c r="F78" s="1265"/>
      <c r="G78" s="1265"/>
      <c r="H78" s="1265"/>
      <c r="I78" s="1265"/>
      <c r="J78" s="684"/>
      <c r="K78" s="684"/>
      <c r="L78" s="684"/>
      <c r="M78" s="684"/>
    </row>
    <row r="79" spans="1:13" ht="15">
      <c r="A79" s="27"/>
      <c r="B79" s="1265" t="s">
        <v>1456</v>
      </c>
      <c r="C79" s="1265"/>
      <c r="D79" s="1265"/>
      <c r="E79" s="1265"/>
      <c r="F79" s="1265"/>
      <c r="G79" s="1265"/>
      <c r="H79" s="1265"/>
      <c r="I79" s="1265"/>
      <c r="J79" s="684"/>
      <c r="K79" s="684"/>
      <c r="L79" s="684"/>
      <c r="M79" s="684"/>
    </row>
    <row r="80" spans="1:13" ht="15">
      <c r="A80" s="27"/>
      <c r="B80" s="1265"/>
      <c r="C80" s="1265"/>
      <c r="D80" s="1265"/>
      <c r="E80" s="1265"/>
      <c r="F80" s="1265"/>
      <c r="G80" s="1265"/>
      <c r="H80" s="1265"/>
      <c r="I80" s="1265"/>
      <c r="J80" s="684"/>
      <c r="K80" s="684"/>
      <c r="L80" s="684"/>
      <c r="M80" s="684"/>
    </row>
    <row r="81" spans="1:13" ht="15">
      <c r="A81" s="27"/>
      <c r="B81" s="1265" t="s">
        <v>1243</v>
      </c>
      <c r="D81" s="684"/>
      <c r="E81" s="684"/>
      <c r="F81" s="684"/>
      <c r="G81" s="684"/>
      <c r="H81" s="684"/>
      <c r="I81" s="684"/>
      <c r="J81" s="684"/>
      <c r="K81" s="684"/>
      <c r="L81" s="684"/>
      <c r="M81" s="684"/>
    </row>
    <row r="82" spans="1:13" ht="15.75" thickBot="1">
      <c r="A82" s="1110"/>
      <c r="B82" s="1073"/>
      <c r="C82" s="1073"/>
      <c r="D82" s="1073"/>
      <c r="E82" s="1073"/>
      <c r="F82" s="1073"/>
      <c r="G82" s="1073"/>
      <c r="H82" s="1073"/>
      <c r="I82" s="1073"/>
      <c r="J82" s="1073"/>
      <c r="K82" s="1073"/>
      <c r="L82" s="1073"/>
      <c r="M82" s="1073"/>
    </row>
  </sheetData>
  <mergeCells count="10">
    <mergeCell ref="B7:C7"/>
    <mergeCell ref="E7:H7"/>
    <mergeCell ref="I50:L50"/>
    <mergeCell ref="L52:M52"/>
    <mergeCell ref="B4:C4"/>
    <mergeCell ref="D4:H4"/>
    <mergeCell ref="I4:L4"/>
    <mergeCell ref="B5:C5"/>
    <mergeCell ref="E6:H6"/>
    <mergeCell ref="K6:L6"/>
  </mergeCells>
  <pageMargins left="0.7" right="0.7" top="0.75" bottom="0.75" header="0.3" footer="0.3"/>
  <pageSetup paperSize="9" scale="50"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0019"/>
    <pageSetUpPr fitToPage="1"/>
  </sheetPr>
  <dimension ref="A1:AB99"/>
  <sheetViews>
    <sheetView workbookViewId="0">
      <selection sqref="A1:D1"/>
    </sheetView>
  </sheetViews>
  <sheetFormatPr defaultRowHeight="12.75"/>
  <cols>
    <col min="1" max="1" width="3.28515625" customWidth="1"/>
    <col min="2" max="2" width="22.85546875" customWidth="1"/>
    <col min="3" max="3" width="9" customWidth="1"/>
    <col min="4" max="4" width="2.85546875" customWidth="1"/>
    <col min="5" max="8" width="9" customWidth="1"/>
    <col min="9" max="9" width="5.85546875" bestFit="1" customWidth="1"/>
    <col min="10" max="10" width="8" hidden="1" customWidth="1"/>
    <col min="11" max="11" width="10" hidden="1" customWidth="1"/>
    <col min="12" max="12" width="4.28515625" customWidth="1"/>
    <col min="13" max="13" width="1.28515625" customWidth="1"/>
    <col min="14" max="19" width="10" bestFit="1" customWidth="1"/>
    <col min="20" max="20" width="11.28515625" customWidth="1"/>
    <col min="21" max="21" width="8.7109375" customWidth="1"/>
  </cols>
  <sheetData>
    <row r="1" spans="1:28" ht="15.75">
      <c r="A1" s="1624" t="s">
        <v>193</v>
      </c>
      <c r="B1" s="1624"/>
      <c r="C1" s="1624"/>
      <c r="D1" s="1624"/>
      <c r="E1" s="947" t="e">
        <f>#REF!</f>
        <v>#REF!</v>
      </c>
      <c r="F1" s="1618" t="e">
        <f>#REF!</f>
        <v>#REF!</v>
      </c>
      <c r="G1" s="1618"/>
      <c r="I1" s="861" t="s">
        <v>716</v>
      </c>
      <c r="J1" s="861"/>
      <c r="K1" s="861"/>
      <c r="O1" s="761"/>
      <c r="P1" s="1619">
        <f ca="1">NOW()</f>
        <v>44595.448909606479</v>
      </c>
      <c r="Q1" s="1619"/>
      <c r="R1" s="1619"/>
      <c r="S1" s="684"/>
      <c r="T1" s="684"/>
      <c r="U1" s="684"/>
      <c r="V1" s="684"/>
      <c r="W1" s="684"/>
      <c r="X1" s="684"/>
      <c r="Y1" s="761"/>
      <c r="Z1" s="761"/>
      <c r="AA1" s="761" t="e">
        <f>#REF!</f>
        <v>#REF!</v>
      </c>
      <c r="AB1" s="547"/>
    </row>
    <row r="2" spans="1:28" ht="67.5" customHeight="1">
      <c r="A2" s="720" t="s">
        <v>717</v>
      </c>
      <c r="B2" s="628"/>
      <c r="C2" s="629"/>
      <c r="D2" s="606"/>
      <c r="F2" s="34">
        <v>0</v>
      </c>
      <c r="G2" s="34">
        <f t="shared" ref="G2:V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ref="W2:AA3" si="1">V2+1</f>
        <v>17</v>
      </c>
      <c r="X2" s="34">
        <f t="shared" si="1"/>
        <v>18</v>
      </c>
      <c r="Y2" s="34">
        <f t="shared" si="1"/>
        <v>19</v>
      </c>
      <c r="Z2" s="34">
        <f t="shared" si="1"/>
        <v>20</v>
      </c>
      <c r="AA2" s="34">
        <f t="shared" si="1"/>
        <v>21</v>
      </c>
      <c r="AB2" s="547"/>
    </row>
    <row r="3" spans="1:28">
      <c r="A3" s="34"/>
      <c r="B3" s="34"/>
      <c r="C3" s="34"/>
      <c r="D3" s="34"/>
      <c r="E3" s="46" t="s">
        <v>44</v>
      </c>
      <c r="F3" s="712">
        <v>1999</v>
      </c>
      <c r="G3" s="712">
        <f t="shared" si="0"/>
        <v>2000</v>
      </c>
      <c r="H3" s="712">
        <f t="shared" si="0"/>
        <v>2001</v>
      </c>
      <c r="I3" s="712">
        <f t="shared" si="0"/>
        <v>2002</v>
      </c>
      <c r="J3" s="712">
        <f t="shared" si="0"/>
        <v>2003</v>
      </c>
      <c r="K3" s="712">
        <f t="shared" si="0"/>
        <v>2004</v>
      </c>
      <c r="L3" s="712">
        <f t="shared" si="0"/>
        <v>2005</v>
      </c>
      <c r="M3" s="712">
        <f t="shared" si="0"/>
        <v>2006</v>
      </c>
      <c r="N3" s="712">
        <v>2007</v>
      </c>
      <c r="O3" s="712">
        <f>N3+1</f>
        <v>2008</v>
      </c>
      <c r="P3" s="712">
        <f t="shared" si="0"/>
        <v>2009</v>
      </c>
      <c r="Q3" s="712">
        <f t="shared" si="0"/>
        <v>2010</v>
      </c>
      <c r="R3" s="712">
        <f t="shared" si="0"/>
        <v>2011</v>
      </c>
      <c r="S3" s="712">
        <f t="shared" si="0"/>
        <v>2012</v>
      </c>
      <c r="T3" s="712">
        <f t="shared" si="0"/>
        <v>2013</v>
      </c>
      <c r="U3" s="712">
        <f t="shared" si="0"/>
        <v>2014</v>
      </c>
      <c r="V3" s="712">
        <f t="shared" si="0"/>
        <v>2015</v>
      </c>
      <c r="W3" s="712">
        <f t="shared" si="1"/>
        <v>2016</v>
      </c>
      <c r="X3" s="712">
        <f t="shared" si="1"/>
        <v>2017</v>
      </c>
      <c r="Y3" s="712">
        <f t="shared" si="1"/>
        <v>2018</v>
      </c>
      <c r="Z3" s="712">
        <f t="shared" si="1"/>
        <v>2019</v>
      </c>
      <c r="AA3" s="712">
        <f t="shared" si="1"/>
        <v>2020</v>
      </c>
      <c r="AB3" s="547"/>
    </row>
    <row r="4" spans="1:28">
      <c r="E4" s="3" t="s">
        <v>44</v>
      </c>
      <c r="F4" s="620">
        <v>1999</v>
      </c>
      <c r="G4" s="620">
        <f t="shared" ref="G4:M4" si="2">F4+1</f>
        <v>2000</v>
      </c>
      <c r="H4" s="620">
        <f t="shared" si="2"/>
        <v>2001</v>
      </c>
      <c r="I4" s="620">
        <f t="shared" si="2"/>
        <v>2002</v>
      </c>
      <c r="J4" s="620">
        <f t="shared" si="2"/>
        <v>2003</v>
      </c>
      <c r="K4" s="620">
        <f t="shared" si="2"/>
        <v>2004</v>
      </c>
      <c r="L4" s="620">
        <f t="shared" si="2"/>
        <v>2005</v>
      </c>
      <c r="M4" s="620">
        <f t="shared" si="2"/>
        <v>2006</v>
      </c>
      <c r="N4" s="620">
        <v>2007</v>
      </c>
      <c r="O4" s="620">
        <f>N4+1</f>
        <v>2008</v>
      </c>
      <c r="P4" s="620">
        <f t="shared" ref="P4:W4" si="3">O4+1</f>
        <v>2009</v>
      </c>
      <c r="Q4" s="620">
        <f t="shared" si="3"/>
        <v>2010</v>
      </c>
      <c r="R4" s="620">
        <f t="shared" si="3"/>
        <v>2011</v>
      </c>
      <c r="S4" s="620">
        <f t="shared" si="3"/>
        <v>2012</v>
      </c>
      <c r="T4" s="620">
        <f t="shared" si="3"/>
        <v>2013</v>
      </c>
      <c r="U4" s="620">
        <f t="shared" si="3"/>
        <v>2014</v>
      </c>
      <c r="V4" s="620">
        <f t="shared" si="3"/>
        <v>2015</v>
      </c>
      <c r="W4" s="620">
        <f t="shared" si="3"/>
        <v>2016</v>
      </c>
      <c r="X4" s="620">
        <f t="shared" ref="X4:AA4" si="4">W4+1</f>
        <v>2017</v>
      </c>
      <c r="Y4" s="620">
        <f t="shared" si="4"/>
        <v>2018</v>
      </c>
      <c r="Z4" s="620">
        <f t="shared" si="4"/>
        <v>2019</v>
      </c>
      <c r="AA4" s="620">
        <f t="shared" si="4"/>
        <v>2020</v>
      </c>
      <c r="AB4" s="547"/>
    </row>
    <row r="5" spans="1:28">
      <c r="A5" s="523"/>
      <c r="B5" s="523" t="s">
        <v>534</v>
      </c>
      <c r="C5" s="523"/>
      <c r="D5" s="523"/>
      <c r="E5" s="523"/>
      <c r="F5" s="523"/>
      <c r="G5" s="523"/>
      <c r="H5" s="523"/>
      <c r="I5" s="524" t="s">
        <v>336</v>
      </c>
      <c r="J5" s="523"/>
      <c r="K5" s="523"/>
      <c r="L5" s="523"/>
      <c r="M5" s="523"/>
      <c r="N5" s="523"/>
      <c r="O5" s="525" t="e">
        <f>#REF!</f>
        <v>#REF!</v>
      </c>
      <c r="P5" s="525" t="e">
        <f>#REF!</f>
        <v>#REF!</v>
      </c>
      <c r="Q5" s="525" t="e">
        <f>#REF!</f>
        <v>#REF!</v>
      </c>
      <c r="R5" s="525" t="e">
        <f>#REF!</f>
        <v>#REF!</v>
      </c>
      <c r="S5" s="525" t="e">
        <f>#REF!</f>
        <v>#REF!</v>
      </c>
      <c r="T5" s="525" t="e">
        <f>#REF!</f>
        <v>#REF!</v>
      </c>
      <c r="U5" s="548">
        <v>1</v>
      </c>
    </row>
    <row r="6" spans="1:28">
      <c r="A6" s="523"/>
      <c r="B6" s="523" t="s">
        <v>458</v>
      </c>
      <c r="C6" s="523"/>
      <c r="D6" s="523"/>
      <c r="E6" s="523"/>
      <c r="F6" s="523"/>
      <c r="G6" s="523"/>
      <c r="H6" s="523"/>
      <c r="I6" s="524" t="s">
        <v>336</v>
      </c>
      <c r="J6" s="523"/>
      <c r="K6" s="523"/>
      <c r="L6" s="523"/>
      <c r="M6" s="523"/>
      <c r="N6" s="523"/>
      <c r="O6" s="526" t="e">
        <f>#REF!</f>
        <v>#REF!</v>
      </c>
      <c r="P6" s="526" t="e">
        <f>#REF!</f>
        <v>#REF!</v>
      </c>
      <c r="Q6" s="526" t="e">
        <f>#REF!</f>
        <v>#REF!</v>
      </c>
      <c r="R6" s="526" t="e">
        <f>#REF!</f>
        <v>#REF!</v>
      </c>
      <c r="S6" s="526" t="e">
        <f>#REF!</f>
        <v>#REF!</v>
      </c>
      <c r="T6" s="526" t="e">
        <f>#REF!</f>
        <v>#REF!</v>
      </c>
      <c r="U6" s="45">
        <f>U5+1</f>
        <v>2</v>
      </c>
    </row>
    <row r="7" spans="1:28">
      <c r="A7" s="523"/>
      <c r="B7" s="523"/>
      <c r="C7" s="523"/>
      <c r="D7" s="523"/>
      <c r="E7" s="523"/>
      <c r="F7" s="523"/>
      <c r="G7" s="523"/>
      <c r="H7" s="523"/>
      <c r="I7" s="523"/>
      <c r="J7" s="523"/>
      <c r="K7" s="523"/>
      <c r="L7" s="523"/>
      <c r="M7" s="523"/>
      <c r="N7" s="523"/>
      <c r="O7" s="526"/>
      <c r="P7" s="526"/>
      <c r="Q7" s="526"/>
      <c r="R7" s="526"/>
      <c r="S7" s="526"/>
      <c r="T7" s="526"/>
      <c r="U7" s="548">
        <v>2</v>
      </c>
    </row>
    <row r="8" spans="1:28" ht="15">
      <c r="A8" s="523"/>
      <c r="B8" s="523" t="s">
        <v>718</v>
      </c>
      <c r="C8" s="523"/>
      <c r="D8" s="523"/>
      <c r="E8" s="523"/>
      <c r="F8" s="523"/>
      <c r="G8" s="523"/>
      <c r="H8" s="523"/>
      <c r="I8" s="523"/>
      <c r="J8" s="523"/>
      <c r="K8" s="523"/>
      <c r="L8" s="523"/>
      <c r="M8" s="523"/>
      <c r="N8" s="523"/>
      <c r="O8" s="527" t="e">
        <f>'Econ-Perf 2'!O63</f>
        <v>#REF!</v>
      </c>
      <c r="P8" s="527" t="e">
        <f>'Econ-Perf 2'!P63</f>
        <v>#REF!</v>
      </c>
      <c r="Q8" s="527" t="e">
        <f>'Econ-Perf 2'!Q63</f>
        <v>#REF!</v>
      </c>
      <c r="R8" s="527" t="e">
        <f>'Econ-Perf 2'!R63</f>
        <v>#REF!</v>
      </c>
      <c r="S8" s="527" t="e">
        <f>'Econ-Perf 2'!S63</f>
        <v>#REF!</v>
      </c>
      <c r="T8" s="527" t="e">
        <f>'Econ-Perf 2'!T63</f>
        <v>#REF!</v>
      </c>
      <c r="U8" s="45">
        <f t="shared" ref="U8" si="5">U7+1</f>
        <v>3</v>
      </c>
    </row>
    <row r="9" spans="1:28" ht="15">
      <c r="A9" s="523"/>
      <c r="B9" s="523" t="s">
        <v>434</v>
      </c>
      <c r="C9" s="523"/>
      <c r="D9" s="523"/>
      <c r="E9" s="523"/>
      <c r="F9" s="523"/>
      <c r="G9" s="523"/>
      <c r="H9" s="523"/>
      <c r="I9" s="523"/>
      <c r="J9" s="523"/>
      <c r="K9" s="523"/>
      <c r="L9" s="523"/>
      <c r="M9" s="523"/>
      <c r="N9" s="523"/>
      <c r="O9" s="528" t="e">
        <f>'Econ-Perf 2'!O64</f>
        <v>#REF!</v>
      </c>
      <c r="P9" s="528" t="e">
        <f>'Econ-Perf 2'!P64</f>
        <v>#REF!</v>
      </c>
      <c r="Q9" s="528" t="e">
        <f>'Econ-Perf 2'!Q64</f>
        <v>#REF!</v>
      </c>
      <c r="R9" s="528" t="e">
        <f>'Econ-Perf 2'!R64</f>
        <v>#REF!</v>
      </c>
      <c r="S9" s="528" t="e">
        <f>'Econ-Perf 2'!S64</f>
        <v>#REF!</v>
      </c>
      <c r="T9" s="528" t="e">
        <f>'Econ-Perf 2'!T64</f>
        <v>#REF!</v>
      </c>
      <c r="U9" s="548">
        <v>3</v>
      </c>
    </row>
    <row r="10" spans="1:28" ht="15">
      <c r="A10" s="523"/>
      <c r="B10" s="523" t="s">
        <v>719</v>
      </c>
      <c r="C10" s="523"/>
      <c r="D10" s="523"/>
      <c r="E10" s="523"/>
      <c r="F10" s="523"/>
      <c r="G10" s="523"/>
      <c r="H10" s="523"/>
      <c r="I10" s="523"/>
      <c r="J10" s="523"/>
      <c r="K10" s="523"/>
      <c r="L10" s="523"/>
      <c r="M10" s="523"/>
      <c r="N10" s="523"/>
      <c r="O10" s="527" t="e">
        <f>O8-O9</f>
        <v>#REF!</v>
      </c>
      <c r="P10" s="527" t="e">
        <f t="shared" ref="P10:T10" si="6">P8-P9</f>
        <v>#REF!</v>
      </c>
      <c r="Q10" s="527" t="e">
        <f t="shared" si="6"/>
        <v>#REF!</v>
      </c>
      <c r="R10" s="527" t="e">
        <f t="shared" si="6"/>
        <v>#REF!</v>
      </c>
      <c r="S10" s="527" t="e">
        <f t="shared" si="6"/>
        <v>#REF!</v>
      </c>
      <c r="T10" s="527" t="e">
        <f t="shared" si="6"/>
        <v>#REF!</v>
      </c>
      <c r="U10" s="45">
        <f t="shared" ref="U10" si="7">U9+1</f>
        <v>4</v>
      </c>
    </row>
    <row r="11" spans="1:28" ht="15">
      <c r="A11" s="523"/>
      <c r="B11" s="523"/>
      <c r="C11" s="523"/>
      <c r="D11" s="523"/>
      <c r="E11" s="523"/>
      <c r="F11" s="523"/>
      <c r="G11" s="523"/>
      <c r="H11" s="523"/>
      <c r="I11" s="523"/>
      <c r="J11" s="523"/>
      <c r="K11" s="523"/>
      <c r="L11" s="523"/>
      <c r="M11" s="523"/>
      <c r="N11" s="523"/>
      <c r="O11" s="529"/>
      <c r="P11" s="529"/>
      <c r="Q11" s="529"/>
      <c r="R11" s="529"/>
      <c r="S11" s="529"/>
      <c r="T11" s="529"/>
      <c r="U11" s="548">
        <v>4</v>
      </c>
    </row>
    <row r="12" spans="1:28">
      <c r="A12" s="523"/>
      <c r="B12" s="523" t="s">
        <v>396</v>
      </c>
      <c r="C12" s="523"/>
      <c r="D12" s="523"/>
      <c r="E12" s="523"/>
      <c r="F12" s="523"/>
      <c r="G12" s="523"/>
      <c r="H12" s="523"/>
      <c r="I12" s="523"/>
      <c r="J12" s="523"/>
      <c r="K12" s="523"/>
      <c r="L12" s="523"/>
      <c r="M12" s="523"/>
      <c r="N12" s="526" t="e">
        <f>#REF!</f>
        <v>#REF!</v>
      </c>
      <c r="O12" s="526" t="e">
        <f>#REF!</f>
        <v>#REF!</v>
      </c>
      <c r="P12" s="526" t="e">
        <f>#REF!</f>
        <v>#REF!</v>
      </c>
      <c r="Q12" s="526" t="e">
        <f>#REF!</f>
        <v>#REF!</v>
      </c>
      <c r="R12" s="526" t="e">
        <f>#REF!</f>
        <v>#REF!</v>
      </c>
      <c r="S12" s="526" t="e">
        <f>#REF!</f>
        <v>#REF!</v>
      </c>
      <c r="T12" s="526" t="e">
        <f>#REF!</f>
        <v>#REF!</v>
      </c>
      <c r="U12" s="45">
        <f t="shared" ref="U12" si="8">U11+1</f>
        <v>5</v>
      </c>
    </row>
    <row r="13" spans="1:28">
      <c r="A13" s="523"/>
      <c r="B13" s="523" t="s">
        <v>720</v>
      </c>
      <c r="C13" s="523"/>
      <c r="D13" s="523"/>
      <c r="E13" s="523"/>
      <c r="F13" s="523"/>
      <c r="G13" s="523"/>
      <c r="H13" s="523"/>
      <c r="I13" s="523"/>
      <c r="J13" s="523"/>
      <c r="K13" s="523"/>
      <c r="L13" s="523"/>
      <c r="M13" s="523"/>
      <c r="N13" s="526"/>
      <c r="O13" s="526" t="e">
        <f>(N12+O12)/2</f>
        <v>#REF!</v>
      </c>
      <c r="P13" s="526" t="e">
        <f t="shared" ref="P13:T13" si="9">(O12+P12)/2</f>
        <v>#REF!</v>
      </c>
      <c r="Q13" s="526" t="e">
        <f t="shared" si="9"/>
        <v>#REF!</v>
      </c>
      <c r="R13" s="526" t="e">
        <f t="shared" si="9"/>
        <v>#REF!</v>
      </c>
      <c r="S13" s="526" t="e">
        <f t="shared" si="9"/>
        <v>#REF!</v>
      </c>
      <c r="T13" s="526" t="e">
        <f t="shared" si="9"/>
        <v>#REF!</v>
      </c>
      <c r="U13" s="548">
        <v>5</v>
      </c>
    </row>
    <row r="14" spans="1:28">
      <c r="A14" s="523"/>
      <c r="B14" s="523"/>
      <c r="C14" s="523"/>
      <c r="D14" s="523"/>
      <c r="E14" s="523"/>
      <c r="F14" s="523"/>
      <c r="G14" s="523"/>
      <c r="H14" s="523"/>
      <c r="I14" s="523"/>
      <c r="J14" s="523"/>
      <c r="K14" s="523"/>
      <c r="L14" s="523"/>
      <c r="M14" s="523"/>
      <c r="N14" s="526"/>
      <c r="O14" s="526"/>
      <c r="P14" s="526"/>
      <c r="Q14" s="526"/>
      <c r="R14" s="526"/>
      <c r="S14" s="526"/>
      <c r="T14" s="526"/>
      <c r="U14" s="45">
        <f t="shared" ref="U14" si="10">U13+1</f>
        <v>6</v>
      </c>
    </row>
    <row r="15" spans="1:28">
      <c r="A15" s="523"/>
      <c r="B15" s="523" t="s">
        <v>721</v>
      </c>
      <c r="C15" s="523"/>
      <c r="D15" s="523"/>
      <c r="E15" s="523"/>
      <c r="F15" s="523"/>
      <c r="G15" s="523"/>
      <c r="H15" s="523"/>
      <c r="I15" s="523"/>
      <c r="J15" s="523"/>
      <c r="K15" s="523"/>
      <c r="L15" s="523"/>
      <c r="M15" s="523"/>
      <c r="N15" s="526"/>
      <c r="O15" s="530" t="e">
        <f>O17/O13</f>
        <v>#REF!</v>
      </c>
      <c r="P15" s="530" t="e">
        <f t="shared" ref="P15:S15" si="11">P17/P13</f>
        <v>#REF!</v>
      </c>
      <c r="Q15" s="530" t="e">
        <f t="shared" si="11"/>
        <v>#REF!</v>
      </c>
      <c r="R15" s="530" t="e">
        <f t="shared" si="11"/>
        <v>#REF!</v>
      </c>
      <c r="S15" s="530" t="e">
        <f t="shared" si="11"/>
        <v>#REF!</v>
      </c>
      <c r="T15" s="526"/>
      <c r="U15" s="548">
        <v>6</v>
      </c>
    </row>
    <row r="16" spans="1:28">
      <c r="A16" s="523"/>
      <c r="B16" s="523"/>
      <c r="C16" s="523"/>
      <c r="D16" s="523"/>
      <c r="E16" s="523"/>
      <c r="F16" s="523"/>
      <c r="G16" s="523"/>
      <c r="H16" s="523"/>
      <c r="I16" s="523"/>
      <c r="J16" s="523"/>
      <c r="K16" s="523"/>
      <c r="L16" s="523"/>
      <c r="M16" s="523"/>
      <c r="N16" s="526"/>
      <c r="O16" s="526"/>
      <c r="P16" s="526"/>
      <c r="Q16" s="526"/>
      <c r="R16" s="526"/>
      <c r="S16" s="526"/>
      <c r="T16" s="526"/>
      <c r="U16" s="45">
        <f t="shared" ref="U16" si="12">U15+1</f>
        <v>7</v>
      </c>
    </row>
    <row r="17" spans="1:21">
      <c r="A17" s="523"/>
      <c r="B17" s="523" t="s">
        <v>528</v>
      </c>
      <c r="C17" s="523"/>
      <c r="D17" s="523"/>
      <c r="E17" s="523"/>
      <c r="F17" s="523"/>
      <c r="G17" s="523"/>
      <c r="H17" s="523"/>
      <c r="I17" s="531" t="s">
        <v>336</v>
      </c>
      <c r="J17" s="523"/>
      <c r="K17" s="523"/>
      <c r="L17" s="523"/>
      <c r="M17" s="523"/>
      <c r="N17" s="523"/>
      <c r="O17" s="526">
        <f>'Econ-Perf 1'!O8</f>
        <v>5511</v>
      </c>
      <c r="P17" s="526">
        <f>'Econ-Perf 1'!P8</f>
        <v>6595</v>
      </c>
      <c r="Q17" s="526">
        <f>'Econ-Perf 1'!Q8</f>
        <v>16463</v>
      </c>
      <c r="R17" s="526">
        <f>'Econ-Perf 1'!R8</f>
        <v>0</v>
      </c>
      <c r="S17" s="526">
        <f>'Econ-Perf 1'!S8</f>
        <v>0</v>
      </c>
      <c r="T17" s="526">
        <f>'Econ-Perf 1'!T8</f>
        <v>0</v>
      </c>
      <c r="U17" s="548">
        <v>7</v>
      </c>
    </row>
    <row r="18" spans="1:21">
      <c r="A18" s="523"/>
      <c r="B18" s="523" t="s">
        <v>537</v>
      </c>
      <c r="C18" s="523"/>
      <c r="D18" s="523"/>
      <c r="E18" s="523"/>
      <c r="F18" s="523"/>
      <c r="G18" s="523"/>
      <c r="H18" s="523"/>
      <c r="I18" s="523"/>
      <c r="J18" s="523"/>
      <c r="K18" s="523"/>
      <c r="L18" s="523"/>
      <c r="M18" s="523"/>
      <c r="N18" s="523"/>
      <c r="O18" s="532" t="e">
        <f>O5/O17</f>
        <v>#REF!</v>
      </c>
      <c r="P18" s="532" t="e">
        <f t="shared" ref="P18:T18" si="13">P5/P17</f>
        <v>#REF!</v>
      </c>
      <c r="Q18" s="532" t="e">
        <f t="shared" si="13"/>
        <v>#REF!</v>
      </c>
      <c r="R18" s="532" t="e">
        <f t="shared" si="13"/>
        <v>#REF!</v>
      </c>
      <c r="S18" s="532" t="e">
        <f t="shared" si="13"/>
        <v>#REF!</v>
      </c>
      <c r="T18" s="532" t="e">
        <f t="shared" si="13"/>
        <v>#REF!</v>
      </c>
      <c r="U18" s="45">
        <f t="shared" ref="U18" si="14">U17+1</f>
        <v>8</v>
      </c>
    </row>
    <row r="19" spans="1:21">
      <c r="A19" s="523"/>
      <c r="B19" s="523"/>
      <c r="C19" s="523"/>
      <c r="D19" s="523"/>
      <c r="E19" s="523"/>
      <c r="F19" s="523"/>
      <c r="G19" s="523"/>
      <c r="H19" s="523"/>
      <c r="I19" s="523"/>
      <c r="J19" s="523"/>
      <c r="K19" s="523"/>
      <c r="L19" s="523"/>
      <c r="M19" s="523"/>
      <c r="N19" s="523"/>
      <c r="O19" s="532"/>
      <c r="P19" s="532"/>
      <c r="Q19" s="532"/>
      <c r="R19" s="532"/>
      <c r="S19" s="532"/>
      <c r="T19" s="532"/>
      <c r="U19" s="548">
        <v>8</v>
      </c>
    </row>
    <row r="20" spans="1:21">
      <c r="A20" s="523"/>
      <c r="B20" s="523" t="s">
        <v>722</v>
      </c>
      <c r="C20" s="523"/>
      <c r="D20" s="523"/>
      <c r="E20" s="523"/>
      <c r="F20" s="523"/>
      <c r="G20" s="523"/>
      <c r="H20" s="523"/>
      <c r="I20" s="523"/>
      <c r="J20" s="523"/>
      <c r="K20" s="523"/>
      <c r="L20" s="523"/>
      <c r="M20" s="523"/>
      <c r="N20" s="531" t="e">
        <f>N12</f>
        <v>#REF!</v>
      </c>
      <c r="O20" s="526" t="e">
        <f>O12</f>
        <v>#REF!</v>
      </c>
      <c r="P20" s="526" t="e">
        <f t="shared" ref="P20:T20" si="15">P12</f>
        <v>#REF!</v>
      </c>
      <c r="Q20" s="526" t="e">
        <f t="shared" si="15"/>
        <v>#REF!</v>
      </c>
      <c r="R20" s="526" t="e">
        <f t="shared" si="15"/>
        <v>#REF!</v>
      </c>
      <c r="S20" s="526" t="e">
        <f t="shared" si="15"/>
        <v>#REF!</v>
      </c>
      <c r="T20" s="526" t="e">
        <f t="shared" si="15"/>
        <v>#REF!</v>
      </c>
      <c r="U20" s="45">
        <f t="shared" ref="U20" si="16">U19+1</f>
        <v>9</v>
      </c>
    </row>
    <row r="21" spans="1:21">
      <c r="A21" s="523"/>
      <c r="B21" s="523" t="s">
        <v>723</v>
      </c>
      <c r="C21" s="523"/>
      <c r="D21" s="523"/>
      <c r="E21" s="523"/>
      <c r="F21" s="523"/>
      <c r="G21" s="523"/>
      <c r="H21" s="523"/>
      <c r="I21" s="523"/>
      <c r="J21" s="523"/>
      <c r="K21" s="523"/>
      <c r="L21" s="523"/>
      <c r="M21" s="523"/>
      <c r="N21" s="533" t="e">
        <f>#REF!</f>
        <v>#REF!</v>
      </c>
      <c r="O21" s="533" t="e">
        <f>#REF!</f>
        <v>#REF!</v>
      </c>
      <c r="P21" s="533" t="e">
        <f>#REF!</f>
        <v>#REF!</v>
      </c>
      <c r="Q21" s="533" t="e">
        <f>#REF!</f>
        <v>#REF!</v>
      </c>
      <c r="R21" s="533" t="e">
        <f>#REF!</f>
        <v>#REF!</v>
      </c>
      <c r="S21" s="533" t="e">
        <f>#REF!</f>
        <v>#REF!</v>
      </c>
      <c r="T21" s="550" t="e">
        <f>#REF!</f>
        <v>#REF!</v>
      </c>
      <c r="U21" s="548">
        <v>9</v>
      </c>
    </row>
    <row r="22" spans="1:21">
      <c r="A22" s="523"/>
      <c r="B22" s="523" t="s">
        <v>460</v>
      </c>
      <c r="C22" s="523"/>
      <c r="D22" s="523"/>
      <c r="E22" s="523"/>
      <c r="F22" s="523"/>
      <c r="G22" s="523"/>
      <c r="H22" s="523"/>
      <c r="I22" s="523"/>
      <c r="J22" s="523"/>
      <c r="K22" s="523"/>
      <c r="L22" s="523"/>
      <c r="M22" s="523"/>
      <c r="N22" s="526" t="e">
        <f>N20+N21</f>
        <v>#REF!</v>
      </c>
      <c r="O22" s="526" t="e">
        <f t="shared" ref="O22:T22" si="17">O20+O21</f>
        <v>#REF!</v>
      </c>
      <c r="P22" s="526" t="e">
        <f t="shared" si="17"/>
        <v>#REF!</v>
      </c>
      <c r="Q22" s="526" t="e">
        <f t="shared" si="17"/>
        <v>#REF!</v>
      </c>
      <c r="R22" s="526" t="e">
        <f t="shared" si="17"/>
        <v>#REF!</v>
      </c>
      <c r="S22" s="526" t="e">
        <f t="shared" si="17"/>
        <v>#REF!</v>
      </c>
      <c r="T22" s="526" t="e">
        <f t="shared" si="17"/>
        <v>#REF!</v>
      </c>
      <c r="U22" s="45">
        <f t="shared" ref="U22" si="18">U21+1</f>
        <v>10</v>
      </c>
    </row>
    <row r="23" spans="1:21">
      <c r="A23" s="523"/>
      <c r="B23" s="523" t="s">
        <v>461</v>
      </c>
      <c r="C23" s="523"/>
      <c r="D23" s="523"/>
      <c r="E23" s="523"/>
      <c r="F23" s="523"/>
      <c r="G23" s="523"/>
      <c r="H23" s="523"/>
      <c r="I23" s="523"/>
      <c r="J23" s="523"/>
      <c r="K23" s="523"/>
      <c r="L23" s="523"/>
      <c r="M23" s="523"/>
      <c r="N23" s="531"/>
      <c r="O23" s="448" t="e">
        <f>#REF!</f>
        <v>#REF!</v>
      </c>
      <c r="P23" s="448" t="e">
        <f>#REF!</f>
        <v>#REF!</v>
      </c>
      <c r="Q23" s="448" t="e">
        <f>#REF!</f>
        <v>#REF!</v>
      </c>
      <c r="R23" s="448" t="e">
        <f>#REF!</f>
        <v>#REF!</v>
      </c>
      <c r="S23" s="448" t="e">
        <f>#REF!</f>
        <v>#REF!</v>
      </c>
      <c r="T23" s="448" t="e">
        <f>#REF!</f>
        <v>#REF!</v>
      </c>
      <c r="U23" s="548">
        <v>10</v>
      </c>
    </row>
    <row r="24" spans="1:21">
      <c r="A24" s="523"/>
      <c r="B24" s="523" t="s">
        <v>462</v>
      </c>
      <c r="C24" s="523"/>
      <c r="D24" s="523"/>
      <c r="E24" s="523"/>
      <c r="F24" s="523"/>
      <c r="G24" s="523"/>
      <c r="H24" s="523"/>
      <c r="I24" s="523"/>
      <c r="J24" s="523"/>
      <c r="K24" s="523"/>
      <c r="L24" s="523"/>
      <c r="M24" s="523"/>
      <c r="N24" s="523"/>
      <c r="O24" s="526" t="e">
        <f t="shared" ref="O24" si="19">O22+O23</f>
        <v>#REF!</v>
      </c>
      <c r="P24" s="526" t="e">
        <f t="shared" ref="P24" si="20">P22+P23</f>
        <v>#REF!</v>
      </c>
      <c r="Q24" s="526" t="e">
        <f t="shared" ref="Q24" si="21">Q22+Q23</f>
        <v>#REF!</v>
      </c>
      <c r="R24" s="526" t="e">
        <f t="shared" ref="R24" si="22">R22+R23</f>
        <v>#REF!</v>
      </c>
      <c r="S24" s="526" t="e">
        <f t="shared" ref="S24" si="23">S22+S23</f>
        <v>#REF!</v>
      </c>
      <c r="T24" s="526" t="e">
        <f t="shared" ref="T24" si="24">T22+T23</f>
        <v>#REF!</v>
      </c>
      <c r="U24" s="45">
        <f t="shared" ref="U24" si="25">U23+1</f>
        <v>11</v>
      </c>
    </row>
    <row r="25" spans="1:21">
      <c r="A25" s="523"/>
      <c r="B25" s="523"/>
      <c r="C25" s="523"/>
      <c r="D25" s="523"/>
      <c r="E25" s="523"/>
      <c r="F25" s="523"/>
      <c r="G25" s="523"/>
      <c r="H25" s="523"/>
      <c r="I25" s="523"/>
      <c r="J25" s="523"/>
      <c r="K25" s="523"/>
      <c r="L25" s="523"/>
      <c r="M25" s="523"/>
      <c r="N25" s="523"/>
      <c r="O25" s="532"/>
      <c r="P25" s="532"/>
      <c r="Q25" s="532"/>
      <c r="R25" s="532"/>
      <c r="S25" s="532"/>
      <c r="T25" s="532"/>
      <c r="U25" s="548">
        <v>11</v>
      </c>
    </row>
    <row r="26" spans="1:21">
      <c r="A26" s="523"/>
      <c r="B26" s="523" t="s">
        <v>724</v>
      </c>
      <c r="C26" s="523"/>
      <c r="D26" s="523"/>
      <c r="E26" s="523"/>
      <c r="F26" s="523"/>
      <c r="G26" s="523"/>
      <c r="H26" s="523"/>
      <c r="I26" s="523"/>
      <c r="J26" s="523"/>
      <c r="K26" s="523"/>
      <c r="L26" s="523"/>
      <c r="M26" s="523"/>
      <c r="N26" s="523"/>
      <c r="O26" s="532"/>
      <c r="P26" s="532" t="e">
        <f>P23/P17</f>
        <v>#REF!</v>
      </c>
      <c r="Q26" s="532" t="e">
        <f t="shared" ref="Q26:T26" si="26">Q23/Q17</f>
        <v>#REF!</v>
      </c>
      <c r="R26" s="532" t="e">
        <f t="shared" si="26"/>
        <v>#REF!</v>
      </c>
      <c r="S26" s="532" t="e">
        <f t="shared" si="26"/>
        <v>#REF!</v>
      </c>
      <c r="T26" s="532" t="e">
        <f t="shared" si="26"/>
        <v>#REF!</v>
      </c>
      <c r="U26" s="45">
        <f t="shared" ref="U26" si="27">U25+1</f>
        <v>12</v>
      </c>
    </row>
    <row r="27" spans="1:21">
      <c r="A27" s="523"/>
      <c r="B27" s="523"/>
      <c r="C27" s="523"/>
      <c r="D27" s="523"/>
      <c r="E27" s="523"/>
      <c r="F27" s="523"/>
      <c r="G27" s="523"/>
      <c r="H27" s="523"/>
      <c r="I27" s="523"/>
      <c r="J27" s="523"/>
      <c r="K27" s="523"/>
      <c r="L27" s="523"/>
      <c r="M27" s="523"/>
      <c r="N27" s="523"/>
      <c r="O27" s="532"/>
      <c r="P27" s="532"/>
      <c r="Q27" s="532"/>
      <c r="R27" s="532"/>
      <c r="S27" s="532"/>
      <c r="T27" s="532"/>
      <c r="U27" s="45"/>
    </row>
    <row r="28" spans="1:21">
      <c r="A28" s="523"/>
      <c r="B28" s="523" t="s">
        <v>462</v>
      </c>
      <c r="C28" s="523"/>
      <c r="D28" s="523"/>
      <c r="E28" s="523"/>
      <c r="F28" s="523"/>
      <c r="G28" s="523"/>
      <c r="H28" s="523"/>
      <c r="I28" s="524" t="s">
        <v>43</v>
      </c>
      <c r="J28" s="523"/>
      <c r="K28" s="523"/>
      <c r="L28" s="523"/>
      <c r="M28" s="523"/>
      <c r="N28" s="523"/>
      <c r="O28" s="526" t="e">
        <f t="shared" ref="O28:T28" si="28">O24</f>
        <v>#REF!</v>
      </c>
      <c r="P28" s="526" t="e">
        <f t="shared" si="28"/>
        <v>#REF!</v>
      </c>
      <c r="Q28" s="526" t="e">
        <f t="shared" si="28"/>
        <v>#REF!</v>
      </c>
      <c r="R28" s="526" t="e">
        <f t="shared" si="28"/>
        <v>#REF!</v>
      </c>
      <c r="S28" s="526" t="e">
        <f t="shared" si="28"/>
        <v>#REF!</v>
      </c>
      <c r="T28" s="526" t="e">
        <f t="shared" si="28"/>
        <v>#REF!</v>
      </c>
      <c r="U28" s="548">
        <v>13</v>
      </c>
    </row>
    <row r="29" spans="1:21">
      <c r="A29" s="523"/>
      <c r="B29" s="523" t="s">
        <v>457</v>
      </c>
      <c r="C29" s="523"/>
      <c r="D29" s="523"/>
      <c r="E29" s="523"/>
      <c r="F29" s="523"/>
      <c r="G29" s="523"/>
      <c r="H29" s="523"/>
      <c r="I29" s="524" t="s">
        <v>43</v>
      </c>
      <c r="J29" s="523"/>
      <c r="K29" s="523"/>
      <c r="L29" s="523"/>
      <c r="M29" s="523"/>
      <c r="N29" s="523"/>
      <c r="O29" s="534" t="e">
        <f t="shared" ref="O29:T29" si="29">O12</f>
        <v>#REF!</v>
      </c>
      <c r="P29" s="534" t="e">
        <f t="shared" si="29"/>
        <v>#REF!</v>
      </c>
      <c r="Q29" s="534" t="e">
        <f t="shared" si="29"/>
        <v>#REF!</v>
      </c>
      <c r="R29" s="534" t="e">
        <f t="shared" si="29"/>
        <v>#REF!</v>
      </c>
      <c r="S29" s="534" t="e">
        <f t="shared" si="29"/>
        <v>#REF!</v>
      </c>
      <c r="T29" s="534" t="e">
        <f t="shared" si="29"/>
        <v>#REF!</v>
      </c>
      <c r="U29" s="45">
        <f t="shared" ref="U29" si="30">U28+1</f>
        <v>14</v>
      </c>
    </row>
    <row r="30" spans="1:21">
      <c r="A30" s="523"/>
      <c r="B30" s="523" t="s">
        <v>579</v>
      </c>
      <c r="C30" s="523"/>
      <c r="D30" s="523"/>
      <c r="E30" s="523"/>
      <c r="F30" s="523"/>
      <c r="G30" s="523"/>
      <c r="H30" s="523"/>
      <c r="I30" s="524" t="s">
        <v>43</v>
      </c>
      <c r="J30" s="523"/>
      <c r="K30" s="523"/>
      <c r="L30" s="523"/>
      <c r="M30" s="523"/>
      <c r="N30" s="523"/>
      <c r="O30" s="448" t="e">
        <f>O28-O29</f>
        <v>#REF!</v>
      </c>
      <c r="P30" s="448" t="e">
        <f t="shared" ref="P30" si="31">P28-P29</f>
        <v>#REF!</v>
      </c>
      <c r="Q30" s="448" t="e">
        <f t="shared" ref="Q30" si="32">Q28-Q29</f>
        <v>#REF!</v>
      </c>
      <c r="R30" s="448" t="e">
        <f t="shared" ref="R30" si="33">R28-R29</f>
        <v>#REF!</v>
      </c>
      <c r="S30" s="448" t="e">
        <f t="shared" ref="S30" si="34">S28-S29</f>
        <v>#REF!</v>
      </c>
      <c r="T30" s="448" t="e">
        <f t="shared" ref="T30" si="35">T28-T29</f>
        <v>#REF!</v>
      </c>
      <c r="U30" s="548">
        <v>14</v>
      </c>
    </row>
    <row r="31" spans="1:21">
      <c r="A31" s="523"/>
      <c r="B31" s="523"/>
      <c r="C31" s="523"/>
      <c r="D31" s="523"/>
      <c r="E31" s="523"/>
      <c r="F31" s="523"/>
      <c r="G31" s="523"/>
      <c r="H31" s="523"/>
      <c r="I31" s="523"/>
      <c r="J31" s="523"/>
      <c r="K31" s="523"/>
      <c r="L31" s="523"/>
      <c r="M31" s="523"/>
      <c r="N31" s="523"/>
      <c r="O31" s="526"/>
      <c r="P31" s="526"/>
      <c r="Q31" s="526"/>
      <c r="R31" s="526"/>
      <c r="S31" s="526"/>
      <c r="T31" s="526"/>
      <c r="U31" s="45">
        <f t="shared" ref="U31" si="36">U30+1</f>
        <v>15</v>
      </c>
    </row>
    <row r="32" spans="1:21">
      <c r="A32" s="523"/>
      <c r="B32" s="523" t="s">
        <v>595</v>
      </c>
      <c r="C32" s="523"/>
      <c r="D32" s="523"/>
      <c r="E32" s="523"/>
      <c r="F32" s="523"/>
      <c r="G32" s="523"/>
      <c r="H32" s="523"/>
      <c r="I32" s="523"/>
      <c r="J32" s="523"/>
      <c r="K32" s="523"/>
      <c r="L32" s="523"/>
      <c r="M32" s="523"/>
      <c r="N32" s="523"/>
      <c r="O32" s="537">
        <f>'Mark-Expect'!O43</f>
        <v>0</v>
      </c>
      <c r="P32" s="537" t="e">
        <f>'Mark-Expect'!P43</f>
        <v>#REF!</v>
      </c>
      <c r="Q32" s="537" t="e">
        <f>'Mark-Expect'!Q43</f>
        <v>#REF!</v>
      </c>
      <c r="R32" s="537" t="e">
        <f>'Mark-Expect'!R43</f>
        <v>#REF!</v>
      </c>
      <c r="S32" s="537" t="e">
        <f>'Mark-Expect'!S43</f>
        <v>#REF!</v>
      </c>
      <c r="T32" s="537" t="e">
        <f>'Mark-Expect'!T43</f>
        <v>#REF!</v>
      </c>
      <c r="U32" s="548">
        <v>15</v>
      </c>
    </row>
    <row r="33" spans="1:21">
      <c r="A33" s="523"/>
      <c r="B33" s="523" t="s">
        <v>725</v>
      </c>
      <c r="C33" s="523"/>
      <c r="D33" s="523"/>
      <c r="E33" s="523"/>
      <c r="F33" s="523"/>
      <c r="G33" s="523"/>
      <c r="H33" s="523"/>
      <c r="I33" s="523"/>
      <c r="J33" s="523"/>
      <c r="K33" s="523"/>
      <c r="L33" s="523"/>
      <c r="M33" s="523"/>
      <c r="N33" s="523"/>
      <c r="O33" s="537">
        <f>'Mark-Expect'!O44</f>
        <v>0</v>
      </c>
      <c r="P33" s="537" t="e">
        <f>'Mark-Expect'!P44</f>
        <v>#REF!</v>
      </c>
      <c r="Q33" s="537" t="e">
        <f>'Mark-Expect'!Q44</f>
        <v>#REF!</v>
      </c>
      <c r="R33" s="537" t="e">
        <f>'Mark-Expect'!R44</f>
        <v>#REF!</v>
      </c>
      <c r="S33" s="537" t="e">
        <f>'Mark-Expect'!S44</f>
        <v>#REF!</v>
      </c>
      <c r="T33" s="537" t="e">
        <f>'Mark-Expect'!T44</f>
        <v>#REF!</v>
      </c>
      <c r="U33" s="45">
        <f t="shared" ref="U33" si="37">U32+1</f>
        <v>16</v>
      </c>
    </row>
    <row r="34" spans="1:21">
      <c r="A34" s="523"/>
      <c r="B34" s="523" t="s">
        <v>396</v>
      </c>
      <c r="C34" s="523"/>
      <c r="D34" s="523"/>
      <c r="E34" s="523"/>
      <c r="F34" s="523"/>
      <c r="G34" s="523"/>
      <c r="H34" s="523"/>
      <c r="I34" s="523"/>
      <c r="J34" s="523"/>
      <c r="K34" s="523"/>
      <c r="L34" s="523"/>
      <c r="M34" s="523"/>
      <c r="N34" s="523"/>
      <c r="O34" s="538">
        <f>'Mark-Expect'!O45</f>
        <v>0</v>
      </c>
      <c r="P34" s="538" t="e">
        <f>'Mark-Expect'!P45</f>
        <v>#REF!</v>
      </c>
      <c r="Q34" s="538" t="e">
        <f>'Mark-Expect'!Q45</f>
        <v>#REF!</v>
      </c>
      <c r="R34" s="538" t="e">
        <f>'Mark-Expect'!R45</f>
        <v>#REF!</v>
      </c>
      <c r="S34" s="538" t="e">
        <f>'Mark-Expect'!S45</f>
        <v>#REF!</v>
      </c>
      <c r="T34" s="538" t="e">
        <f>'Mark-Expect'!T45</f>
        <v>#REF!</v>
      </c>
      <c r="U34" s="548">
        <v>16</v>
      </c>
    </row>
    <row r="35" spans="1:21">
      <c r="A35" s="523"/>
      <c r="B35" s="523" t="s">
        <v>726</v>
      </c>
      <c r="C35" s="523"/>
      <c r="D35" s="523"/>
      <c r="E35" s="523"/>
      <c r="F35" s="523"/>
      <c r="G35" s="523"/>
      <c r="H35" s="523"/>
      <c r="I35" s="523"/>
      <c r="J35" s="523"/>
      <c r="K35" s="523"/>
      <c r="L35" s="523"/>
      <c r="M35" s="523"/>
      <c r="N35" s="523"/>
      <c r="O35" s="539">
        <f>SUM(O32:O34)</f>
        <v>0</v>
      </c>
      <c r="P35" s="539" t="e">
        <f t="shared" ref="P35:T35" si="38">SUM(P32:P34)</f>
        <v>#REF!</v>
      </c>
      <c r="Q35" s="539" t="e">
        <f t="shared" si="38"/>
        <v>#REF!</v>
      </c>
      <c r="R35" s="539" t="e">
        <f t="shared" si="38"/>
        <v>#REF!</v>
      </c>
      <c r="S35" s="539" t="e">
        <f t="shared" si="38"/>
        <v>#REF!</v>
      </c>
      <c r="T35" s="539" t="e">
        <f t="shared" si="38"/>
        <v>#REF!</v>
      </c>
      <c r="U35" s="45">
        <f t="shared" ref="U35" si="39">U34+1</f>
        <v>17</v>
      </c>
    </row>
    <row r="36" spans="1:21">
      <c r="A36" s="523"/>
      <c r="B36" s="523"/>
      <c r="C36" s="523"/>
      <c r="D36" s="523"/>
      <c r="E36" s="523"/>
      <c r="F36" s="523"/>
      <c r="G36" s="523"/>
      <c r="H36" s="523"/>
      <c r="I36" s="523"/>
      <c r="J36" s="523"/>
      <c r="K36" s="523"/>
      <c r="L36" s="523"/>
      <c r="M36" s="523"/>
      <c r="N36" s="523"/>
      <c r="O36" s="526"/>
      <c r="P36" s="526"/>
      <c r="Q36" s="526"/>
      <c r="R36" s="526"/>
      <c r="S36" s="526"/>
      <c r="T36" s="526"/>
      <c r="U36" s="548">
        <v>17</v>
      </c>
    </row>
    <row r="37" spans="1:21">
      <c r="A37" s="523"/>
      <c r="B37" s="523" t="s">
        <v>724</v>
      </c>
      <c r="C37" s="523"/>
      <c r="D37" s="523"/>
      <c r="E37" s="523"/>
      <c r="F37" s="523"/>
      <c r="G37" s="523"/>
      <c r="H37" s="523"/>
      <c r="I37" s="523"/>
      <c r="J37" s="523"/>
      <c r="K37" s="523"/>
      <c r="L37" s="523"/>
      <c r="M37" s="523"/>
      <c r="N37" s="523"/>
      <c r="O37" s="539" t="e">
        <f>'Econ-Perf 2'!O88</f>
        <v>#REF!</v>
      </c>
      <c r="P37" s="539" t="e">
        <f>'Econ-Perf 2'!P88</f>
        <v>#REF!</v>
      </c>
      <c r="Q37" s="539" t="e">
        <f>'Econ-Perf 2'!Q88</f>
        <v>#REF!</v>
      </c>
      <c r="R37" s="539" t="e">
        <f>'Econ-Perf 2'!R88</f>
        <v>#REF!</v>
      </c>
      <c r="S37" s="539" t="e">
        <f>'Econ-Perf 2'!S88</f>
        <v>#REF!</v>
      </c>
      <c r="T37" s="539" t="e">
        <f>'Econ-Perf 2'!T88</f>
        <v>#REF!</v>
      </c>
      <c r="U37" s="45">
        <f t="shared" ref="U37" si="40">U36+1</f>
        <v>18</v>
      </c>
    </row>
    <row r="38" spans="1:21">
      <c r="A38" s="523"/>
      <c r="B38" s="523" t="s">
        <v>727</v>
      </c>
      <c r="C38" s="523"/>
      <c r="D38" s="523"/>
      <c r="E38" s="523"/>
      <c r="F38" s="523"/>
      <c r="G38" s="523"/>
      <c r="H38" s="523"/>
      <c r="I38" s="523"/>
      <c r="J38" s="523"/>
      <c r="K38" s="523"/>
      <c r="L38" s="523"/>
      <c r="M38" s="523"/>
      <c r="N38" s="523"/>
      <c r="O38" s="537" t="e">
        <f t="shared" ref="O38:T38" si="41">O23/O24</f>
        <v>#REF!</v>
      </c>
      <c r="P38" s="537" t="e">
        <f t="shared" si="41"/>
        <v>#REF!</v>
      </c>
      <c r="Q38" s="537" t="e">
        <f t="shared" si="41"/>
        <v>#REF!</v>
      </c>
      <c r="R38" s="537" t="e">
        <f t="shared" si="41"/>
        <v>#REF!</v>
      </c>
      <c r="S38" s="537" t="e">
        <f t="shared" si="41"/>
        <v>#REF!</v>
      </c>
      <c r="T38" s="537" t="e">
        <f t="shared" si="41"/>
        <v>#REF!</v>
      </c>
      <c r="U38" s="548">
        <v>18</v>
      </c>
    </row>
    <row r="39" spans="1:21">
      <c r="A39" s="523"/>
      <c r="B39" s="523" t="s">
        <v>728</v>
      </c>
      <c r="C39" s="540"/>
      <c r="D39" s="540"/>
      <c r="E39" s="540"/>
      <c r="F39" s="540"/>
      <c r="G39" s="540"/>
      <c r="H39" s="540"/>
      <c r="I39" s="540"/>
      <c r="J39" s="523"/>
      <c r="K39" s="523"/>
      <c r="L39" s="523"/>
      <c r="M39" s="523"/>
      <c r="N39" s="540"/>
      <c r="O39" s="551" t="e">
        <f t="shared" ref="O39:T39" si="42">O23/O20</f>
        <v>#REF!</v>
      </c>
      <c r="P39" s="551" t="e">
        <f t="shared" si="42"/>
        <v>#REF!</v>
      </c>
      <c r="Q39" s="551" t="e">
        <f t="shared" si="42"/>
        <v>#REF!</v>
      </c>
      <c r="R39" s="551" t="e">
        <f t="shared" si="42"/>
        <v>#REF!</v>
      </c>
      <c r="S39" s="551" t="e">
        <f t="shared" si="42"/>
        <v>#REF!</v>
      </c>
      <c r="T39" s="551" t="e">
        <f t="shared" si="42"/>
        <v>#REF!</v>
      </c>
      <c r="U39" s="45">
        <f t="shared" ref="U39" si="43">U38+1</f>
        <v>19</v>
      </c>
    </row>
    <row r="40" spans="1:21">
      <c r="A40" s="523"/>
      <c r="B40" s="523"/>
      <c r="C40" s="523"/>
      <c r="D40" s="523"/>
      <c r="E40" s="523"/>
      <c r="F40" s="523"/>
      <c r="G40" s="523"/>
      <c r="H40" s="523"/>
      <c r="I40" s="523"/>
      <c r="J40" s="523"/>
      <c r="K40" s="523"/>
      <c r="L40" s="523"/>
      <c r="M40" s="523"/>
      <c r="N40" s="523"/>
      <c r="O40" s="523"/>
      <c r="P40" s="523"/>
      <c r="Q40" s="523"/>
      <c r="R40" s="523"/>
      <c r="S40" s="523"/>
      <c r="T40" s="523"/>
      <c r="U40" s="548">
        <v>19</v>
      </c>
    </row>
    <row r="41" spans="1:21">
      <c r="A41" s="523"/>
      <c r="B41" s="523" t="s">
        <v>729</v>
      </c>
      <c r="C41" s="523"/>
      <c r="D41" s="523"/>
      <c r="E41" s="523"/>
      <c r="F41" s="523"/>
      <c r="G41" s="523"/>
      <c r="H41" s="523"/>
      <c r="I41" s="523"/>
      <c r="J41" s="523"/>
      <c r="K41" s="523"/>
      <c r="L41" s="523"/>
      <c r="M41" s="523"/>
      <c r="N41" s="532">
        <v>0</v>
      </c>
      <c r="O41" s="532">
        <v>0</v>
      </c>
      <c r="P41" s="532">
        <v>0</v>
      </c>
      <c r="Q41" s="532">
        <v>0</v>
      </c>
      <c r="R41" s="532">
        <v>0</v>
      </c>
      <c r="S41" s="532">
        <v>0</v>
      </c>
      <c r="T41" s="532">
        <v>0</v>
      </c>
      <c r="U41" s="45">
        <f t="shared" ref="U41" si="44">U40+1</f>
        <v>20</v>
      </c>
    </row>
    <row r="42" spans="1:21">
      <c r="A42" s="523"/>
      <c r="B42" s="523" t="s">
        <v>463</v>
      </c>
      <c r="C42" s="523"/>
      <c r="D42" s="523"/>
      <c r="E42" s="523"/>
      <c r="F42" s="523"/>
      <c r="G42" s="523"/>
      <c r="H42" s="523"/>
      <c r="I42" s="523"/>
      <c r="J42" s="523"/>
      <c r="K42" s="523"/>
      <c r="L42" s="523"/>
      <c r="M42" s="523"/>
      <c r="N42" s="536" t="e">
        <f>#REF!</f>
        <v>#REF!</v>
      </c>
      <c r="O42" s="536" t="e">
        <f>#REF!</f>
        <v>#REF!</v>
      </c>
      <c r="P42" s="536" t="e">
        <f>#REF!</f>
        <v>#REF!</v>
      </c>
      <c r="Q42" s="536" t="e">
        <f>#REF!</f>
        <v>#REF!</v>
      </c>
      <c r="R42" s="536" t="e">
        <f>#REF!</f>
        <v>#REF!</v>
      </c>
      <c r="S42" s="536" t="e">
        <f>#REF!</f>
        <v>#REF!</v>
      </c>
      <c r="T42" s="536" t="e">
        <f>#REF!</f>
        <v>#REF!</v>
      </c>
      <c r="U42" s="548">
        <v>20</v>
      </c>
    </row>
    <row r="43" spans="1:21">
      <c r="A43" s="523"/>
      <c r="B43" s="523"/>
      <c r="C43" s="523"/>
      <c r="D43" s="523"/>
      <c r="E43" s="523"/>
      <c r="F43" s="523"/>
      <c r="G43" s="523"/>
      <c r="H43" s="523"/>
      <c r="I43" s="523"/>
      <c r="J43" s="523"/>
      <c r="K43" s="523"/>
      <c r="L43" s="523"/>
      <c r="M43" s="523"/>
      <c r="N43" s="532">
        <v>0.19885817759877239</v>
      </c>
      <c r="O43" s="532">
        <v>-0.56087740288127175</v>
      </c>
      <c r="P43" s="532">
        <v>0.1797683412384716</v>
      </c>
      <c r="Q43" s="532">
        <v>-0.1839463294600138</v>
      </c>
      <c r="R43" s="532">
        <v>-5.112267748304572E-2</v>
      </c>
      <c r="S43" s="532">
        <v>-0.33588803287108371</v>
      </c>
      <c r="T43" s="532">
        <v>0.46322105361305349</v>
      </c>
      <c r="U43" s="45">
        <f t="shared" ref="U43" si="45">U42+1</f>
        <v>21</v>
      </c>
    </row>
    <row r="44" spans="1:21">
      <c r="A44" s="523"/>
      <c r="B44" s="523"/>
      <c r="C44" s="523"/>
      <c r="D44" s="523"/>
      <c r="E44" s="523"/>
      <c r="F44" s="523"/>
      <c r="G44" s="523"/>
      <c r="H44" s="523"/>
      <c r="I44" s="523"/>
      <c r="J44" s="523"/>
      <c r="K44" s="523"/>
      <c r="L44" s="523"/>
      <c r="M44" s="523"/>
      <c r="N44" s="532"/>
      <c r="O44" s="532"/>
      <c r="P44" s="532"/>
      <c r="Q44" s="532"/>
      <c r="R44" s="532"/>
      <c r="S44" s="532"/>
      <c r="T44" s="532"/>
      <c r="U44" s="548">
        <v>21</v>
      </c>
    </row>
    <row r="45" spans="1:21">
      <c r="A45" s="523"/>
      <c r="B45" s="523" t="s">
        <v>452</v>
      </c>
      <c r="C45" s="523"/>
      <c r="D45" s="523"/>
      <c r="E45" s="523"/>
      <c r="F45" s="523"/>
      <c r="G45" s="523"/>
      <c r="H45" s="523"/>
      <c r="I45" s="523"/>
      <c r="J45" s="523"/>
      <c r="K45" s="523"/>
      <c r="L45" s="523"/>
      <c r="M45" s="523"/>
      <c r="N45" s="549">
        <f t="shared" ref="N45:R45" si="46">O45+1</f>
        <v>7</v>
      </c>
      <c r="O45" s="549">
        <f t="shared" si="46"/>
        <v>6</v>
      </c>
      <c r="P45" s="549">
        <f t="shared" si="46"/>
        <v>5</v>
      </c>
      <c r="Q45" s="549">
        <f t="shared" si="46"/>
        <v>4</v>
      </c>
      <c r="R45" s="549">
        <f t="shared" si="46"/>
        <v>3</v>
      </c>
      <c r="S45" s="549">
        <f>T45+1</f>
        <v>2</v>
      </c>
      <c r="T45" s="549">
        <v>1</v>
      </c>
      <c r="U45" s="45">
        <f t="shared" ref="U45" si="47">U44+1</f>
        <v>22</v>
      </c>
    </row>
    <row r="46" spans="1:21">
      <c r="A46" s="523"/>
      <c r="B46" s="523" t="s">
        <v>730</v>
      </c>
      <c r="C46" s="523"/>
      <c r="D46" s="523"/>
      <c r="E46" s="523"/>
      <c r="F46" s="523"/>
      <c r="G46" s="523"/>
      <c r="H46" s="523"/>
      <c r="I46" s="523"/>
      <c r="J46" s="523"/>
      <c r="K46" s="523"/>
      <c r="L46" s="523"/>
      <c r="M46" s="523"/>
      <c r="N46" s="532">
        <v>0</v>
      </c>
      <c r="O46" s="532">
        <v>0</v>
      </c>
      <c r="P46" s="532">
        <v>0</v>
      </c>
      <c r="Q46" s="532">
        <v>0</v>
      </c>
      <c r="R46" s="532">
        <v>0</v>
      </c>
      <c r="S46" s="532">
        <v>0</v>
      </c>
      <c r="T46" s="532">
        <v>0</v>
      </c>
      <c r="U46" s="548">
        <v>22</v>
      </c>
    </row>
    <row r="47" spans="1:21">
      <c r="A47" s="523"/>
      <c r="B47" s="523"/>
      <c r="C47" s="523"/>
      <c r="D47" s="523"/>
      <c r="E47" s="523"/>
      <c r="F47" s="523"/>
      <c r="G47" s="523"/>
      <c r="H47" s="523"/>
      <c r="I47" s="523"/>
      <c r="J47" s="523"/>
      <c r="K47" s="523"/>
      <c r="L47" s="523"/>
      <c r="M47" s="523"/>
      <c r="N47" s="523"/>
      <c r="O47" s="523"/>
      <c r="P47" s="523"/>
      <c r="Q47" s="523"/>
      <c r="R47" s="523"/>
      <c r="S47" s="523"/>
      <c r="T47" s="523"/>
      <c r="U47" s="45">
        <f t="shared" ref="U47" si="48">U46+1</f>
        <v>23</v>
      </c>
    </row>
    <row r="48" spans="1:21">
      <c r="A48" s="523"/>
      <c r="B48" s="523" t="s">
        <v>454</v>
      </c>
      <c r="C48" s="523"/>
      <c r="D48" s="523"/>
      <c r="E48" s="523"/>
      <c r="F48" s="523"/>
      <c r="G48" s="523"/>
      <c r="H48" s="523"/>
      <c r="I48" s="523" t="s">
        <v>433</v>
      </c>
      <c r="J48" s="523"/>
      <c r="K48" s="523"/>
      <c r="L48" s="523"/>
      <c r="M48" s="523"/>
      <c r="N48" s="541" t="e">
        <f>#REF!</f>
        <v>#REF!</v>
      </c>
      <c r="O48" s="541" t="e">
        <f>#REF!</f>
        <v>#REF!</v>
      </c>
      <c r="P48" s="541" t="e">
        <f>#REF!</f>
        <v>#REF!</v>
      </c>
      <c r="Q48" s="541" t="e">
        <f>#REF!</f>
        <v>#REF!</v>
      </c>
      <c r="R48" s="541" t="e">
        <f>#REF!</f>
        <v>#REF!</v>
      </c>
      <c r="S48" s="541" t="e">
        <f>#REF!</f>
        <v>#REF!</v>
      </c>
      <c r="T48" s="541" t="e">
        <f>#REF!</f>
        <v>#REF!</v>
      </c>
      <c r="U48" s="548">
        <v>23</v>
      </c>
    </row>
    <row r="49" spans="1:21">
      <c r="A49" s="523"/>
      <c r="B49" s="523"/>
      <c r="C49" s="523"/>
      <c r="D49" s="523"/>
      <c r="E49" s="523"/>
      <c r="F49" s="523"/>
      <c r="G49" s="523"/>
      <c r="H49" s="523"/>
      <c r="I49" s="523"/>
      <c r="J49" s="523"/>
      <c r="K49" s="523"/>
      <c r="L49" s="523"/>
      <c r="M49" s="523"/>
      <c r="N49" s="541"/>
      <c r="O49" s="541"/>
      <c r="P49" s="541"/>
      <c r="Q49" s="541"/>
      <c r="R49" s="541"/>
      <c r="S49" s="541"/>
      <c r="T49" s="541"/>
      <c r="U49" s="45">
        <f t="shared" ref="U49" si="49">U48+1</f>
        <v>24</v>
      </c>
    </row>
    <row r="50" spans="1:21">
      <c r="A50" s="523"/>
      <c r="B50" s="523" t="s">
        <v>731</v>
      </c>
      <c r="C50" s="523"/>
      <c r="D50" s="523"/>
      <c r="E50" s="523"/>
      <c r="F50" s="523"/>
      <c r="G50" s="523"/>
      <c r="H50" s="523"/>
      <c r="I50" s="523"/>
      <c r="J50" s="523"/>
      <c r="K50" s="523"/>
      <c r="L50" s="523"/>
      <c r="M50" s="523"/>
      <c r="N50" s="541"/>
      <c r="O50" s="552" t="e">
        <f t="shared" ref="O50:T50" si="50">O17/O20</f>
        <v>#REF!</v>
      </c>
      <c r="P50" s="552" t="e">
        <f t="shared" si="50"/>
        <v>#REF!</v>
      </c>
      <c r="Q50" s="552" t="e">
        <f t="shared" si="50"/>
        <v>#REF!</v>
      </c>
      <c r="R50" s="552" t="e">
        <f t="shared" si="50"/>
        <v>#REF!</v>
      </c>
      <c r="S50" s="552" t="e">
        <f t="shared" si="50"/>
        <v>#REF!</v>
      </c>
      <c r="T50" s="552" t="e">
        <f t="shared" si="50"/>
        <v>#REF!</v>
      </c>
      <c r="U50" s="548">
        <v>24</v>
      </c>
    </row>
    <row r="51" spans="1:21">
      <c r="A51" s="523"/>
      <c r="B51" s="523"/>
      <c r="C51" s="523"/>
      <c r="D51" s="523"/>
      <c r="E51" s="523"/>
      <c r="F51" s="523"/>
      <c r="G51" s="523"/>
      <c r="H51" s="523"/>
      <c r="I51" s="523"/>
      <c r="J51" s="523"/>
      <c r="K51" s="523"/>
      <c r="L51" s="523"/>
      <c r="M51" s="523"/>
      <c r="N51" s="541"/>
      <c r="O51" s="541"/>
      <c r="P51" s="541"/>
      <c r="Q51" s="541"/>
      <c r="R51" s="541"/>
      <c r="S51" s="541"/>
      <c r="T51" s="541"/>
      <c r="U51" s="45">
        <f t="shared" ref="U51" si="51">U50+1</f>
        <v>25</v>
      </c>
    </row>
    <row r="52" spans="1:21">
      <c r="A52" s="523"/>
      <c r="B52" s="523" t="s">
        <v>458</v>
      </c>
      <c r="C52" s="523"/>
      <c r="D52" s="523"/>
      <c r="E52" s="523"/>
      <c r="F52" s="523"/>
      <c r="G52" s="523"/>
      <c r="H52" s="523"/>
      <c r="I52" s="531" t="s">
        <v>336</v>
      </c>
      <c r="J52" s="523"/>
      <c r="K52" s="523"/>
      <c r="L52" s="523"/>
      <c r="M52" s="523"/>
      <c r="N52" s="523"/>
      <c r="O52" s="526" t="e">
        <f t="shared" ref="O52:T52" si="52">O6</f>
        <v>#REF!</v>
      </c>
      <c r="P52" s="526" t="e">
        <f t="shared" si="52"/>
        <v>#REF!</v>
      </c>
      <c r="Q52" s="526" t="e">
        <f t="shared" si="52"/>
        <v>#REF!</v>
      </c>
      <c r="R52" s="526" t="e">
        <f t="shared" si="52"/>
        <v>#REF!</v>
      </c>
      <c r="S52" s="526" t="e">
        <f t="shared" si="52"/>
        <v>#REF!</v>
      </c>
      <c r="T52" s="526" t="e">
        <f t="shared" si="52"/>
        <v>#REF!</v>
      </c>
      <c r="U52" s="548">
        <v>25</v>
      </c>
    </row>
    <row r="53" spans="1:21">
      <c r="A53" s="523"/>
      <c r="B53" s="523" t="s">
        <v>732</v>
      </c>
      <c r="C53" s="523"/>
      <c r="D53" s="523"/>
      <c r="E53" s="523"/>
      <c r="F53" s="523"/>
      <c r="G53" s="523"/>
      <c r="H53" s="523"/>
      <c r="I53" s="541"/>
      <c r="J53" s="523"/>
      <c r="K53" s="523"/>
      <c r="L53" s="523"/>
      <c r="M53" s="523"/>
      <c r="N53" s="523"/>
      <c r="O53" s="542" t="e">
        <f t="shared" ref="O53:T53" si="53">O23/O52</f>
        <v>#REF!</v>
      </c>
      <c r="P53" s="542" t="e">
        <f t="shared" si="53"/>
        <v>#REF!</v>
      </c>
      <c r="Q53" s="542" t="e">
        <f t="shared" si="53"/>
        <v>#REF!</v>
      </c>
      <c r="R53" s="542" t="e">
        <f t="shared" si="53"/>
        <v>#REF!</v>
      </c>
      <c r="S53" s="542" t="e">
        <f t="shared" si="53"/>
        <v>#REF!</v>
      </c>
      <c r="T53" s="542" t="e">
        <f t="shared" si="53"/>
        <v>#REF!</v>
      </c>
      <c r="U53" s="45">
        <f t="shared" ref="U53" si="54">U52+1</f>
        <v>26</v>
      </c>
    </row>
    <row r="54" spans="1:21">
      <c r="A54" s="523"/>
      <c r="B54" s="523"/>
      <c r="C54" s="523"/>
      <c r="D54" s="523"/>
      <c r="E54" s="523"/>
      <c r="F54" s="523"/>
      <c r="G54" s="523"/>
      <c r="H54" s="523"/>
      <c r="I54" s="541"/>
      <c r="J54" s="523"/>
      <c r="K54" s="523"/>
      <c r="L54" s="523"/>
      <c r="M54" s="523"/>
      <c r="N54" s="523"/>
      <c r="O54" s="542"/>
      <c r="P54" s="542"/>
      <c r="Q54" s="542"/>
      <c r="R54" s="542"/>
      <c r="S54" s="542"/>
      <c r="T54" s="542"/>
      <c r="U54" s="548">
        <v>26</v>
      </c>
    </row>
    <row r="55" spans="1:21">
      <c r="A55" s="523"/>
      <c r="B55" s="523" t="s">
        <v>573</v>
      </c>
      <c r="C55" s="523"/>
      <c r="D55" s="523"/>
      <c r="E55" s="523"/>
      <c r="F55" s="523"/>
      <c r="G55" s="523"/>
      <c r="H55" s="523"/>
      <c r="I55" s="524"/>
      <c r="J55" s="523"/>
      <c r="K55" s="523"/>
      <c r="L55" s="523"/>
      <c r="M55" s="523"/>
      <c r="N55" s="523"/>
      <c r="O55" s="523"/>
      <c r="P55" s="523"/>
      <c r="Q55" s="523"/>
      <c r="R55" s="523"/>
      <c r="S55" s="553" t="e">
        <f>S52/' 11-BU Perf'!#REF!</f>
        <v>#REF!</v>
      </c>
      <c r="T55" s="553" t="e">
        <f>T52/' 11-BU Perf'!#REF!</f>
        <v>#REF!</v>
      </c>
      <c r="U55" s="45">
        <f t="shared" ref="U55" si="55">U54+1</f>
        <v>27</v>
      </c>
    </row>
    <row r="56" spans="1:21">
      <c r="A56" s="523"/>
      <c r="B56" s="523"/>
      <c r="C56" s="523"/>
      <c r="D56" s="523"/>
      <c r="E56" s="523"/>
      <c r="F56" s="523"/>
      <c r="G56" s="523"/>
      <c r="H56" s="523"/>
      <c r="I56" s="541"/>
      <c r="J56" s="523"/>
      <c r="K56" s="523"/>
      <c r="L56" s="523"/>
      <c r="M56" s="523"/>
      <c r="N56" s="523"/>
      <c r="O56" s="541"/>
      <c r="P56" s="541"/>
      <c r="Q56" s="541"/>
      <c r="R56" s="541"/>
      <c r="S56" s="541"/>
      <c r="T56" s="541"/>
      <c r="U56" s="548">
        <v>27</v>
      </c>
    </row>
    <row r="57" spans="1:21">
      <c r="A57" s="523"/>
      <c r="B57" s="523" t="s">
        <v>733</v>
      </c>
      <c r="C57" s="523"/>
      <c r="D57" s="523"/>
      <c r="E57" s="523"/>
      <c r="F57" s="523"/>
      <c r="G57" s="523"/>
      <c r="H57" s="523"/>
      <c r="I57" s="541"/>
      <c r="J57" s="523"/>
      <c r="K57" s="523"/>
      <c r="L57" s="523"/>
      <c r="M57" s="523"/>
      <c r="N57" s="523"/>
      <c r="O57" s="554"/>
      <c r="P57" s="554"/>
      <c r="Q57" s="554"/>
      <c r="R57" s="554"/>
      <c r="S57" s="554"/>
      <c r="T57" s="554"/>
      <c r="U57" s="45">
        <f t="shared" ref="U57" si="56">U56+1</f>
        <v>28</v>
      </c>
    </row>
    <row r="58" spans="1:21">
      <c r="A58" s="523"/>
      <c r="B58" s="523" t="s">
        <v>734</v>
      </c>
      <c r="C58" s="523"/>
      <c r="D58" s="523"/>
      <c r="E58" s="523"/>
      <c r="F58" s="523"/>
      <c r="G58" s="523"/>
      <c r="H58" s="523"/>
      <c r="I58" s="541"/>
      <c r="J58" s="523"/>
      <c r="K58" s="523"/>
      <c r="L58" s="523"/>
      <c r="M58" s="523"/>
      <c r="N58" s="523"/>
      <c r="O58" s="437"/>
      <c r="P58" s="437"/>
      <c r="Q58" s="437"/>
      <c r="R58" s="437"/>
      <c r="S58" s="437"/>
      <c r="T58" s="437"/>
      <c r="U58" s="548">
        <v>28</v>
      </c>
    </row>
    <row r="59" spans="1:21">
      <c r="A59" s="523"/>
      <c r="B59" s="523"/>
      <c r="C59" s="523"/>
      <c r="D59" s="523"/>
      <c r="E59" s="523"/>
      <c r="F59" s="523"/>
      <c r="G59" s="523"/>
      <c r="H59" s="523"/>
      <c r="I59" s="541"/>
      <c r="J59" s="523"/>
      <c r="K59" s="523"/>
      <c r="L59" s="523"/>
      <c r="M59" s="523"/>
      <c r="N59" s="523"/>
      <c r="O59" s="541"/>
      <c r="P59" s="541"/>
      <c r="Q59" s="541"/>
      <c r="R59" s="541"/>
      <c r="S59" s="541"/>
      <c r="T59" s="541"/>
      <c r="U59" s="45">
        <f t="shared" ref="U59" si="57">U58+1</f>
        <v>29</v>
      </c>
    </row>
    <row r="60" spans="1:21">
      <c r="A60" s="523"/>
      <c r="B60" s="523" t="s">
        <v>524</v>
      </c>
      <c r="C60" s="523"/>
      <c r="D60" s="523"/>
      <c r="E60" s="523"/>
      <c r="F60" s="523"/>
      <c r="G60" s="523"/>
      <c r="H60" s="523"/>
      <c r="I60" s="524"/>
      <c r="J60" s="523"/>
      <c r="K60" s="523"/>
      <c r="L60" s="523"/>
      <c r="M60" s="523"/>
      <c r="N60" s="523"/>
      <c r="O60" s="542" t="e">
        <f>' 11-BU Perf'!#REF!</f>
        <v>#REF!</v>
      </c>
      <c r="P60" s="542" t="e">
        <f>' 11-BU Perf'!#REF!</f>
        <v>#REF!</v>
      </c>
      <c r="Q60" s="542" t="e">
        <f>' 11-BU Perf'!#REF!</f>
        <v>#REF!</v>
      </c>
      <c r="R60" s="542" t="e">
        <f>' 11-BU Perf'!#REF!</f>
        <v>#REF!</v>
      </c>
      <c r="S60" s="542" t="e">
        <f>' 11-BU Perf'!#REF!</f>
        <v>#REF!</v>
      </c>
      <c r="T60" s="542" t="e">
        <f>' 11-BU Perf'!#REF!</f>
        <v>#REF!</v>
      </c>
      <c r="U60" s="548">
        <v>29</v>
      </c>
    </row>
    <row r="61" spans="1:21">
      <c r="A61" s="523"/>
      <c r="B61" s="523" t="s">
        <v>735</v>
      </c>
      <c r="C61" s="523"/>
      <c r="D61" s="523"/>
      <c r="E61" s="523"/>
      <c r="F61" s="523"/>
      <c r="G61" s="523"/>
      <c r="H61" s="523"/>
      <c r="I61" s="531"/>
      <c r="J61" s="523"/>
      <c r="K61" s="523"/>
      <c r="L61" s="523"/>
      <c r="M61" s="523"/>
      <c r="N61" s="523"/>
      <c r="O61" s="526"/>
      <c r="P61" s="526"/>
      <c r="Q61" s="526"/>
      <c r="R61" s="526"/>
      <c r="S61" s="526"/>
      <c r="T61" s="526"/>
      <c r="U61" s="45">
        <f t="shared" ref="U61" si="58">U60+1</f>
        <v>30</v>
      </c>
    </row>
    <row r="62" spans="1:21">
      <c r="A62" s="523"/>
      <c r="B62" s="523" t="s">
        <v>495</v>
      </c>
      <c r="C62" s="523"/>
      <c r="D62" s="523"/>
      <c r="E62" s="523"/>
      <c r="F62" s="523"/>
      <c r="G62" s="523"/>
      <c r="H62" s="523"/>
      <c r="I62" s="531" t="s">
        <v>336</v>
      </c>
      <c r="J62" s="523"/>
      <c r="K62" s="523"/>
      <c r="L62" s="523"/>
      <c r="M62" s="523"/>
      <c r="N62" s="523"/>
      <c r="O62" s="555"/>
      <c r="P62" s="555"/>
      <c r="Q62" s="555"/>
      <c r="R62" s="555"/>
      <c r="S62" s="556" t="e">
        <f>S17/S60</f>
        <v>#REF!</v>
      </c>
      <c r="T62" s="556" t="e">
        <f>T17/T60</f>
        <v>#REF!</v>
      </c>
      <c r="U62" s="548">
        <v>30</v>
      </c>
    </row>
    <row r="63" spans="1:21">
      <c r="A63" s="523"/>
      <c r="B63" s="523" t="s">
        <v>531</v>
      </c>
      <c r="C63" s="523"/>
      <c r="D63" s="523"/>
      <c r="E63" s="523"/>
      <c r="F63" s="523"/>
      <c r="G63" s="523"/>
      <c r="H63" s="523"/>
      <c r="I63" s="531" t="s">
        <v>336</v>
      </c>
      <c r="J63" s="523"/>
      <c r="K63" s="523"/>
      <c r="L63" s="523"/>
      <c r="M63" s="523"/>
      <c r="N63" s="523"/>
      <c r="O63" s="526"/>
      <c r="P63" s="526"/>
      <c r="Q63" s="526"/>
      <c r="R63" s="526"/>
      <c r="S63" s="526"/>
      <c r="T63" s="526"/>
      <c r="U63" s="45">
        <f t="shared" ref="U63" si="59">U62+1</f>
        <v>31</v>
      </c>
    </row>
    <row r="64" spans="1:21">
      <c r="A64" s="523"/>
      <c r="B64" s="523"/>
      <c r="C64" s="523"/>
      <c r="D64" s="523"/>
      <c r="E64" s="523"/>
      <c r="F64" s="523"/>
      <c r="G64" s="523"/>
      <c r="H64" s="523"/>
      <c r="I64" s="541"/>
      <c r="J64" s="523"/>
      <c r="K64" s="523"/>
      <c r="L64" s="523"/>
      <c r="M64" s="523"/>
      <c r="N64" s="523"/>
      <c r="O64" s="541"/>
      <c r="P64" s="541"/>
      <c r="Q64" s="541"/>
      <c r="R64" s="541"/>
      <c r="S64" s="541"/>
      <c r="T64" s="541"/>
      <c r="U64" s="548">
        <v>31</v>
      </c>
    </row>
    <row r="65" spans="1:21">
      <c r="A65" s="523"/>
      <c r="B65" s="523" t="s">
        <v>736</v>
      </c>
      <c r="C65" s="523"/>
      <c r="D65" s="523"/>
      <c r="E65" s="523"/>
      <c r="F65" s="523"/>
      <c r="G65" s="523"/>
      <c r="H65" s="523"/>
      <c r="I65" s="531" t="s">
        <v>336</v>
      </c>
      <c r="J65" s="523"/>
      <c r="K65" s="523"/>
      <c r="L65" s="523"/>
      <c r="M65" s="523"/>
      <c r="N65" s="523"/>
      <c r="O65" s="532"/>
      <c r="P65" s="532"/>
      <c r="Q65" s="532"/>
      <c r="R65" s="532"/>
      <c r="S65" s="532">
        <f>'Econ-Perf 2'!S78</f>
        <v>0</v>
      </c>
      <c r="T65" s="532">
        <f>'Econ-Perf 2'!T78</f>
        <v>0</v>
      </c>
      <c r="U65" s="45">
        <f t="shared" ref="U65" si="60">U64+1</f>
        <v>32</v>
      </c>
    </row>
    <row r="66" spans="1:21">
      <c r="A66" s="523"/>
      <c r="B66" s="523" t="s">
        <v>571</v>
      </c>
      <c r="C66" s="523"/>
      <c r="D66" s="523"/>
      <c r="E66" s="523"/>
      <c r="F66" s="523"/>
      <c r="G66" s="523"/>
      <c r="H66" s="523"/>
      <c r="I66" s="531" t="s">
        <v>336</v>
      </c>
      <c r="J66" s="523"/>
      <c r="K66" s="523"/>
      <c r="L66" s="523"/>
      <c r="M66" s="523"/>
      <c r="N66" s="523"/>
      <c r="O66" s="526" t="e">
        <f>#REF!</f>
        <v>#REF!</v>
      </c>
      <c r="P66" s="526" t="e">
        <f>#REF!</f>
        <v>#REF!</v>
      </c>
      <c r="Q66" s="526" t="e">
        <f>#REF!</f>
        <v>#REF!</v>
      </c>
      <c r="R66" s="526" t="e">
        <f>#REF!</f>
        <v>#REF!</v>
      </c>
      <c r="S66" s="526" t="e">
        <f>#REF!</f>
        <v>#REF!</v>
      </c>
      <c r="T66" s="526" t="e">
        <f>#REF!</f>
        <v>#REF!</v>
      </c>
      <c r="U66" s="548">
        <v>32</v>
      </c>
    </row>
    <row r="67" spans="1:21">
      <c r="A67" s="523"/>
      <c r="B67" s="523" t="s">
        <v>571</v>
      </c>
      <c r="C67" s="523"/>
      <c r="D67" s="523"/>
      <c r="E67" s="523"/>
      <c r="F67" s="523"/>
      <c r="G67" s="523"/>
      <c r="H67" s="523"/>
      <c r="I67" s="541"/>
      <c r="J67" s="523"/>
      <c r="K67" s="523"/>
      <c r="L67" s="523"/>
      <c r="M67" s="523"/>
      <c r="N67" s="523"/>
      <c r="O67" s="532" t="e">
        <f>'Econ-Perf 2'!O96</f>
        <v>#REF!</v>
      </c>
      <c r="P67" s="532" t="e">
        <f>'Econ-Perf 2'!P96</f>
        <v>#REF!</v>
      </c>
      <c r="Q67" s="532" t="e">
        <f>'Econ-Perf 2'!Q96</f>
        <v>#REF!</v>
      </c>
      <c r="R67" s="532" t="e">
        <f>'Econ-Perf 2'!R96</f>
        <v>#REF!</v>
      </c>
      <c r="S67" s="532" t="e">
        <f>'Econ-Perf 2'!S96</f>
        <v>#REF!</v>
      </c>
      <c r="T67" s="532" t="e">
        <f>'Econ-Perf 2'!T96</f>
        <v>#REF!</v>
      </c>
      <c r="U67" s="45">
        <f t="shared" ref="U67" si="61">U66+1</f>
        <v>33</v>
      </c>
    </row>
    <row r="68" spans="1:21">
      <c r="A68" s="523"/>
      <c r="B68" s="523"/>
      <c r="C68" s="523"/>
      <c r="D68" s="523"/>
      <c r="E68" s="523"/>
      <c r="F68" s="523"/>
      <c r="G68" s="523"/>
      <c r="H68" s="523"/>
      <c r="I68" s="541"/>
      <c r="J68" s="523"/>
      <c r="K68" s="523"/>
      <c r="L68" s="523"/>
      <c r="M68" s="523"/>
      <c r="N68" s="523"/>
      <c r="O68" s="541"/>
      <c r="P68" s="541"/>
      <c r="Q68" s="541"/>
      <c r="R68" s="541"/>
      <c r="S68" s="541"/>
      <c r="T68" s="541"/>
      <c r="U68" s="548">
        <v>33</v>
      </c>
    </row>
    <row r="69" spans="1:21">
      <c r="A69" s="523"/>
      <c r="B69" s="523" t="s">
        <v>339</v>
      </c>
      <c r="C69" s="523"/>
      <c r="D69" s="523"/>
      <c r="E69" s="523"/>
      <c r="F69" s="523"/>
      <c r="G69" s="523"/>
      <c r="H69" s="523"/>
      <c r="I69" s="531" t="s">
        <v>336</v>
      </c>
      <c r="J69" s="523"/>
      <c r="K69" s="523"/>
      <c r="L69" s="523"/>
      <c r="M69" s="523"/>
      <c r="N69" s="523"/>
      <c r="O69" s="526" t="e">
        <f>#REF!</f>
        <v>#REF!</v>
      </c>
      <c r="P69" s="526" t="e">
        <f>#REF!</f>
        <v>#REF!</v>
      </c>
      <c r="Q69" s="526" t="e">
        <f>#REF!</f>
        <v>#REF!</v>
      </c>
      <c r="R69" s="526" t="e">
        <f>#REF!</f>
        <v>#REF!</v>
      </c>
      <c r="S69" s="526" t="e">
        <f>#REF!</f>
        <v>#REF!</v>
      </c>
      <c r="T69" s="526" t="e">
        <f>#REF!</f>
        <v>#REF!</v>
      </c>
      <c r="U69" s="45">
        <f t="shared" ref="U69" si="62">U68+1</f>
        <v>34</v>
      </c>
    </row>
    <row r="70" spans="1:21">
      <c r="A70" s="523"/>
      <c r="B70" s="523" t="s">
        <v>737</v>
      </c>
      <c r="C70" s="523"/>
      <c r="D70" s="523"/>
      <c r="E70" s="523"/>
      <c r="F70" s="523"/>
      <c r="G70" s="523"/>
      <c r="H70" s="523"/>
      <c r="I70" s="541"/>
      <c r="J70" s="523"/>
      <c r="K70" s="523"/>
      <c r="L70" s="523"/>
      <c r="M70" s="523"/>
      <c r="N70" s="523"/>
      <c r="O70" s="532" t="e">
        <f t="shared" ref="O70:T70" si="63">O69/O17</f>
        <v>#REF!</v>
      </c>
      <c r="P70" s="532" t="e">
        <f t="shared" si="63"/>
        <v>#REF!</v>
      </c>
      <c r="Q70" s="532" t="e">
        <f t="shared" si="63"/>
        <v>#REF!</v>
      </c>
      <c r="R70" s="532" t="e">
        <f t="shared" si="63"/>
        <v>#REF!</v>
      </c>
      <c r="S70" s="532" t="e">
        <f t="shared" si="63"/>
        <v>#REF!</v>
      </c>
      <c r="T70" s="532" t="e">
        <f t="shared" si="63"/>
        <v>#REF!</v>
      </c>
      <c r="U70" s="548">
        <v>34</v>
      </c>
    </row>
    <row r="71" spans="1:21">
      <c r="A71" s="523"/>
      <c r="B71" s="523" t="s">
        <v>512</v>
      </c>
      <c r="C71" s="523"/>
      <c r="D71" s="523"/>
      <c r="E71" s="523"/>
      <c r="F71" s="523"/>
      <c r="G71" s="523"/>
      <c r="H71" s="523"/>
      <c r="I71" s="531" t="s">
        <v>336</v>
      </c>
      <c r="J71" s="523"/>
      <c r="K71" s="523"/>
      <c r="L71" s="523"/>
      <c r="M71" s="523"/>
      <c r="N71" s="523"/>
      <c r="O71" s="523"/>
      <c r="P71" s="523"/>
      <c r="Q71" s="523"/>
      <c r="R71" s="523"/>
      <c r="S71" s="541" t="e">
        <f t="shared" ref="S71:T71" si="64">S69/S60</f>
        <v>#REF!</v>
      </c>
      <c r="T71" s="541" t="e">
        <f t="shared" si="64"/>
        <v>#REF!</v>
      </c>
      <c r="U71" s="45">
        <f t="shared" ref="U71" si="65">U70+1</f>
        <v>35</v>
      </c>
    </row>
    <row r="72" spans="1:21">
      <c r="A72" s="523"/>
      <c r="B72" s="523" t="s">
        <v>738</v>
      </c>
      <c r="C72" s="523"/>
      <c r="D72" s="523"/>
      <c r="E72" s="523"/>
      <c r="F72" s="523"/>
      <c r="G72" s="523"/>
      <c r="H72" s="523"/>
      <c r="I72" s="524" t="s">
        <v>433</v>
      </c>
      <c r="J72" s="523"/>
      <c r="K72" s="523"/>
      <c r="L72" s="523"/>
      <c r="M72" s="523"/>
      <c r="N72" s="523"/>
      <c r="O72" s="525"/>
      <c r="P72" s="525"/>
      <c r="Q72" s="525"/>
      <c r="R72" s="525"/>
      <c r="S72" s="525"/>
      <c r="T72" s="525"/>
      <c r="U72" s="548">
        <v>35</v>
      </c>
    </row>
    <row r="73" spans="1:21">
      <c r="A73" s="523"/>
      <c r="B73" s="523"/>
      <c r="C73" s="523"/>
      <c r="D73" s="523"/>
      <c r="E73" s="523"/>
      <c r="F73" s="523"/>
      <c r="G73" s="523"/>
      <c r="H73" s="523"/>
      <c r="I73" s="541"/>
      <c r="J73" s="523"/>
      <c r="K73" s="523"/>
      <c r="L73" s="523"/>
      <c r="M73" s="523"/>
      <c r="N73" s="523"/>
      <c r="O73" s="525"/>
      <c r="P73" s="525"/>
      <c r="Q73" s="525"/>
      <c r="R73" s="525"/>
      <c r="S73" s="525"/>
      <c r="T73" s="525"/>
      <c r="U73" s="45">
        <f t="shared" ref="U73" si="66">U72+1</f>
        <v>36</v>
      </c>
    </row>
    <row r="74" spans="1:21">
      <c r="A74" s="523"/>
      <c r="B74" s="535" t="s">
        <v>739</v>
      </c>
      <c r="C74" s="523"/>
      <c r="D74" s="523"/>
      <c r="E74" s="523"/>
      <c r="F74" s="523"/>
      <c r="G74" s="523"/>
      <c r="H74" s="523"/>
      <c r="I74" s="541"/>
      <c r="J74" s="523"/>
      <c r="K74" s="523"/>
      <c r="L74" s="523"/>
      <c r="M74" s="523"/>
      <c r="N74" s="523"/>
      <c r="O74" s="525"/>
      <c r="P74" s="525"/>
      <c r="Q74" s="525"/>
      <c r="R74" s="525"/>
      <c r="S74" s="525"/>
      <c r="T74" s="525"/>
      <c r="U74" s="548">
        <v>36</v>
      </c>
    </row>
    <row r="75" spans="1:21">
      <c r="A75" s="523"/>
      <c r="B75" s="523" t="s">
        <v>726</v>
      </c>
      <c r="C75" s="523"/>
      <c r="D75" s="523"/>
      <c r="E75" s="523"/>
      <c r="F75" s="523"/>
      <c r="G75" s="523"/>
      <c r="H75" s="523"/>
      <c r="I75" s="524" t="s">
        <v>433</v>
      </c>
      <c r="J75" s="523"/>
      <c r="K75" s="523"/>
      <c r="L75" s="523"/>
      <c r="M75" s="523"/>
      <c r="N75" s="523"/>
      <c r="O75" s="523"/>
      <c r="P75" s="523"/>
      <c r="Q75" s="523"/>
      <c r="R75" s="523"/>
      <c r="S75" s="541" t="e">
        <f>S24/S60</f>
        <v>#REF!</v>
      </c>
      <c r="T75" s="541" t="e">
        <f>T24/T60</f>
        <v>#REF!</v>
      </c>
      <c r="U75" s="45">
        <f t="shared" ref="U75" si="67">U74+1</f>
        <v>37</v>
      </c>
    </row>
    <row r="76" spans="1:21">
      <c r="A76" s="523"/>
      <c r="B76" s="523" t="s">
        <v>579</v>
      </c>
      <c r="C76" s="523"/>
      <c r="D76" s="523"/>
      <c r="E76" s="523"/>
      <c r="F76" s="523"/>
      <c r="G76" s="523"/>
      <c r="H76" s="523"/>
      <c r="I76" s="524" t="s">
        <v>433</v>
      </c>
      <c r="J76" s="523"/>
      <c r="K76" s="523"/>
      <c r="L76" s="523"/>
      <c r="M76" s="523"/>
      <c r="N76" s="523"/>
      <c r="O76" s="535"/>
      <c r="P76" s="535"/>
      <c r="Q76" s="535"/>
      <c r="R76" s="535"/>
      <c r="S76" s="557" t="e">
        <f>S23/S60</f>
        <v>#REF!</v>
      </c>
      <c r="T76" s="557" t="e">
        <f>T23/T60</f>
        <v>#REF!</v>
      </c>
      <c r="U76" s="548">
        <v>37</v>
      </c>
    </row>
    <row r="77" spans="1:21">
      <c r="A77" s="523"/>
      <c r="B77" s="523" t="s">
        <v>396</v>
      </c>
      <c r="C77" s="523"/>
      <c r="D77" s="523"/>
      <c r="E77" s="523"/>
      <c r="F77" s="523"/>
      <c r="G77" s="523"/>
      <c r="H77" s="523"/>
      <c r="I77" s="524" t="s">
        <v>433</v>
      </c>
      <c r="J77" s="523"/>
      <c r="K77" s="523"/>
      <c r="L77" s="523"/>
      <c r="M77" s="523"/>
      <c r="N77" s="523"/>
      <c r="O77" s="523"/>
      <c r="P77" s="523"/>
      <c r="Q77" s="523"/>
      <c r="R77" s="523"/>
      <c r="S77" s="554" t="e">
        <f>S20/S60</f>
        <v>#REF!</v>
      </c>
      <c r="T77" s="554" t="e">
        <f>T20/T60</f>
        <v>#REF!</v>
      </c>
      <c r="U77" s="45">
        <f t="shared" ref="U77" si="68">U76+1</f>
        <v>38</v>
      </c>
    </row>
    <row r="78" spans="1:21">
      <c r="A78" s="523"/>
      <c r="B78" s="523"/>
      <c r="C78" s="523"/>
      <c r="D78" s="523"/>
      <c r="E78" s="523"/>
      <c r="F78" s="523"/>
      <c r="G78" s="523"/>
      <c r="H78" s="523"/>
      <c r="I78" s="541"/>
      <c r="J78" s="523"/>
      <c r="K78" s="523"/>
      <c r="L78" s="523"/>
      <c r="M78" s="523"/>
      <c r="N78" s="523"/>
      <c r="O78" s="525"/>
      <c r="P78" s="525"/>
      <c r="Q78" s="525"/>
      <c r="R78" s="525"/>
      <c r="S78" s="558" t="e">
        <f>S75-S76</f>
        <v>#REF!</v>
      </c>
      <c r="T78" s="558" t="e">
        <f>T75-T76</f>
        <v>#REF!</v>
      </c>
      <c r="U78" s="548">
        <v>38</v>
      </c>
    </row>
    <row r="79" spans="1:21">
      <c r="A79" s="523"/>
      <c r="B79" s="523" t="s">
        <v>458</v>
      </c>
      <c r="C79" s="523"/>
      <c r="D79" s="523"/>
      <c r="E79" s="523"/>
      <c r="F79" s="523"/>
      <c r="G79" s="523"/>
      <c r="H79" s="523"/>
      <c r="I79" s="531" t="s">
        <v>336</v>
      </c>
      <c r="J79" s="523"/>
      <c r="K79" s="523"/>
      <c r="L79" s="523"/>
      <c r="M79" s="523"/>
      <c r="N79" s="523"/>
      <c r="O79" s="525" t="e">
        <f>O52</f>
        <v>#REF!</v>
      </c>
      <c r="P79" s="525" t="e">
        <f t="shared" ref="P79:T79" si="69">P52</f>
        <v>#REF!</v>
      </c>
      <c r="Q79" s="525" t="e">
        <f t="shared" si="69"/>
        <v>#REF!</v>
      </c>
      <c r="R79" s="525" t="e">
        <f t="shared" si="69"/>
        <v>#REF!</v>
      </c>
      <c r="S79" s="525" t="e">
        <f t="shared" si="69"/>
        <v>#REF!</v>
      </c>
      <c r="T79" s="525" t="e">
        <f t="shared" si="69"/>
        <v>#REF!</v>
      </c>
      <c r="U79" s="45">
        <f t="shared" ref="U79" si="70">U78+1</f>
        <v>39</v>
      </c>
    </row>
    <row r="80" spans="1:21">
      <c r="A80" s="523"/>
      <c r="B80" s="523" t="s">
        <v>224</v>
      </c>
      <c r="C80" s="523"/>
      <c r="D80" s="523"/>
      <c r="E80" s="523"/>
      <c r="F80" s="523"/>
      <c r="G80" s="523"/>
      <c r="H80" s="523"/>
      <c r="I80" s="531" t="s">
        <v>336</v>
      </c>
      <c r="J80" s="523"/>
      <c r="K80" s="523"/>
      <c r="L80" s="523"/>
      <c r="M80" s="523"/>
      <c r="N80" s="523"/>
      <c r="O80" s="543" t="e">
        <f>#REF!</f>
        <v>#REF!</v>
      </c>
      <c r="P80" s="543" t="e">
        <f>#REF!</f>
        <v>#REF!</v>
      </c>
      <c r="Q80" s="543" t="e">
        <f>#REF!</f>
        <v>#REF!</v>
      </c>
      <c r="R80" s="543" t="e">
        <f>#REF!</f>
        <v>#REF!</v>
      </c>
      <c r="S80" s="543" t="e">
        <f>#REF!</f>
        <v>#REF!</v>
      </c>
      <c r="T80" s="543" t="e">
        <f>#REF!</f>
        <v>#REF!</v>
      </c>
      <c r="U80" s="548">
        <v>39</v>
      </c>
    </row>
    <row r="81" spans="1:21">
      <c r="A81" s="523"/>
      <c r="B81" s="523" t="s">
        <v>459</v>
      </c>
      <c r="C81" s="523"/>
      <c r="D81" s="523"/>
      <c r="E81" s="523"/>
      <c r="F81" s="523"/>
      <c r="G81" s="523"/>
      <c r="H81" s="523"/>
      <c r="I81" s="531" t="s">
        <v>336</v>
      </c>
      <c r="J81" s="523"/>
      <c r="K81" s="523"/>
      <c r="L81" s="523"/>
      <c r="M81" s="523"/>
      <c r="N81" s="523"/>
      <c r="O81" s="525" t="e">
        <f>#REF!</f>
        <v>#REF!</v>
      </c>
      <c r="P81" s="525" t="e">
        <f>#REF!</f>
        <v>#REF!</v>
      </c>
      <c r="Q81" s="525" t="e">
        <f>#REF!</f>
        <v>#REF!</v>
      </c>
      <c r="R81" s="525" t="e">
        <f>#REF!</f>
        <v>#REF!</v>
      </c>
      <c r="S81" s="525" t="e">
        <f>#REF!</f>
        <v>#REF!</v>
      </c>
      <c r="T81" s="525" t="e">
        <f>#REF!</f>
        <v>#REF!</v>
      </c>
      <c r="U81" s="45">
        <f t="shared" ref="U81" si="71">U80+1</f>
        <v>40</v>
      </c>
    </row>
    <row r="82" spans="1:21">
      <c r="A82" s="523"/>
      <c r="B82" s="523"/>
      <c r="C82" s="523"/>
      <c r="D82" s="523"/>
      <c r="E82" s="523"/>
      <c r="F82" s="523"/>
      <c r="G82" s="523"/>
      <c r="H82" s="523"/>
      <c r="I82" s="541"/>
      <c r="J82" s="523"/>
      <c r="K82" s="523"/>
      <c r="L82" s="523"/>
      <c r="M82" s="523"/>
      <c r="N82" s="523"/>
      <c r="O82" s="525"/>
      <c r="P82" s="525"/>
      <c r="Q82" s="525"/>
      <c r="R82" s="525"/>
      <c r="S82" s="525"/>
      <c r="T82" s="525"/>
      <c r="U82" s="548">
        <v>40</v>
      </c>
    </row>
    <row r="83" spans="1:21">
      <c r="A83" s="523"/>
      <c r="B83" s="523" t="s">
        <v>224</v>
      </c>
      <c r="C83" s="523"/>
      <c r="D83" s="523"/>
      <c r="E83" s="523"/>
      <c r="F83" s="523"/>
      <c r="G83" s="523"/>
      <c r="H83" s="523"/>
      <c r="I83" s="531" t="s">
        <v>336</v>
      </c>
      <c r="J83" s="523"/>
      <c r="K83" s="523"/>
      <c r="L83" s="523"/>
      <c r="M83" s="523"/>
      <c r="N83" s="523"/>
      <c r="O83" s="525" t="e">
        <f>O80</f>
        <v>#REF!</v>
      </c>
      <c r="P83" s="525" t="e">
        <f t="shared" ref="P83:T83" si="72">P80</f>
        <v>#REF!</v>
      </c>
      <c r="Q83" s="525" t="e">
        <f t="shared" si="72"/>
        <v>#REF!</v>
      </c>
      <c r="R83" s="525" t="e">
        <f t="shared" si="72"/>
        <v>#REF!</v>
      </c>
      <c r="S83" s="525" t="e">
        <f t="shared" si="72"/>
        <v>#REF!</v>
      </c>
      <c r="T83" s="525" t="e">
        <f t="shared" si="72"/>
        <v>#REF!</v>
      </c>
      <c r="U83" s="45">
        <f t="shared" ref="U83" si="73">U82+1</f>
        <v>41</v>
      </c>
    </row>
    <row r="84" spans="1:21">
      <c r="A84" s="523"/>
      <c r="B84" s="523" t="s">
        <v>740</v>
      </c>
      <c r="C84" s="523"/>
      <c r="D84" s="523"/>
      <c r="E84" s="523"/>
      <c r="F84" s="523"/>
      <c r="G84" s="523"/>
      <c r="H84" s="523"/>
      <c r="I84" s="524" t="s">
        <v>433</v>
      </c>
      <c r="J84" s="523"/>
      <c r="K84" s="523"/>
      <c r="L84" s="523"/>
      <c r="M84" s="523"/>
      <c r="N84" s="523"/>
      <c r="O84" s="523"/>
      <c r="P84" s="523"/>
      <c r="Q84" s="523"/>
      <c r="R84" s="523"/>
      <c r="S84" s="541" t="e">
        <f t="shared" ref="S84:T84" si="74">S83/S60</f>
        <v>#REF!</v>
      </c>
      <c r="T84" s="541" t="e">
        <f t="shared" si="74"/>
        <v>#REF!</v>
      </c>
      <c r="U84" s="548">
        <v>41</v>
      </c>
    </row>
    <row r="85" spans="1:21">
      <c r="A85" s="523"/>
      <c r="B85" s="523"/>
      <c r="C85" s="523"/>
      <c r="D85" s="523"/>
      <c r="E85" s="523"/>
      <c r="F85" s="523"/>
      <c r="G85" s="523"/>
      <c r="H85" s="523"/>
      <c r="I85" s="541"/>
      <c r="J85" s="523"/>
      <c r="K85" s="523"/>
      <c r="L85" s="523"/>
      <c r="M85" s="523"/>
      <c r="N85" s="523"/>
      <c r="O85" s="525"/>
      <c r="P85" s="525"/>
      <c r="Q85" s="525"/>
      <c r="R85" s="525"/>
      <c r="S85" s="525"/>
      <c r="T85" s="525"/>
      <c r="U85" s="45">
        <f t="shared" ref="U85" si="75">U84+1</f>
        <v>42</v>
      </c>
    </row>
    <row r="86" spans="1:21">
      <c r="A86" s="523"/>
      <c r="B86" s="523" t="s">
        <v>574</v>
      </c>
      <c r="C86" s="523"/>
      <c r="D86" s="523"/>
      <c r="E86" s="523"/>
      <c r="F86" s="523"/>
      <c r="G86" s="523"/>
      <c r="H86" s="523"/>
      <c r="I86" s="531" t="s">
        <v>336</v>
      </c>
      <c r="J86" s="523"/>
      <c r="K86" s="523"/>
      <c r="L86" s="523"/>
      <c r="M86" s="523"/>
      <c r="N86" s="523"/>
      <c r="O86" s="525" t="e">
        <f>O69</f>
        <v>#REF!</v>
      </c>
      <c r="P86" s="525" t="e">
        <f t="shared" ref="P86:T86" si="76">P69</f>
        <v>#REF!</v>
      </c>
      <c r="Q86" s="525" t="e">
        <f t="shared" si="76"/>
        <v>#REF!</v>
      </c>
      <c r="R86" s="525" t="e">
        <f t="shared" si="76"/>
        <v>#REF!</v>
      </c>
      <c r="S86" s="525" t="e">
        <f t="shared" si="76"/>
        <v>#REF!</v>
      </c>
      <c r="T86" s="525" t="e">
        <f t="shared" si="76"/>
        <v>#REF!</v>
      </c>
      <c r="U86" s="548">
        <v>42</v>
      </c>
    </row>
    <row r="87" spans="1:21">
      <c r="A87" s="523"/>
      <c r="B87" s="523" t="s">
        <v>741</v>
      </c>
      <c r="C87" s="523"/>
      <c r="D87" s="523"/>
      <c r="E87" s="523"/>
      <c r="F87" s="523"/>
      <c r="G87" s="523"/>
      <c r="H87" s="523"/>
      <c r="I87" s="531" t="s">
        <v>336</v>
      </c>
      <c r="J87" s="523"/>
      <c r="K87" s="523"/>
      <c r="L87" s="523"/>
      <c r="M87" s="523"/>
      <c r="N87" s="523"/>
      <c r="O87" s="525" t="e">
        <f>#REF!+#REF!</f>
        <v>#REF!</v>
      </c>
      <c r="P87" s="525" t="e">
        <f>#REF!+#REF!</f>
        <v>#REF!</v>
      </c>
      <c r="Q87" s="525" t="e">
        <f>#REF!+#REF!</f>
        <v>#REF!</v>
      </c>
      <c r="R87" s="525" t="e">
        <f>#REF!+#REF!</f>
        <v>#REF!</v>
      </c>
      <c r="S87" s="525" t="e">
        <f>#REF!+#REF!</f>
        <v>#REF!</v>
      </c>
      <c r="T87" s="525" t="e">
        <f>#REF!+#REF!</f>
        <v>#REF!</v>
      </c>
      <c r="U87" s="45">
        <f t="shared" ref="U87" si="77">U86+1</f>
        <v>43</v>
      </c>
    </row>
    <row r="88" spans="1:21">
      <c r="A88" s="523"/>
      <c r="B88" s="523" t="s">
        <v>14</v>
      </c>
      <c r="C88" s="523"/>
      <c r="D88" s="523"/>
      <c r="E88" s="523"/>
      <c r="F88" s="523"/>
      <c r="G88" s="523"/>
      <c r="H88" s="523"/>
      <c r="I88" s="531" t="s">
        <v>336</v>
      </c>
      <c r="J88" s="523"/>
      <c r="K88" s="523"/>
      <c r="L88" s="523"/>
      <c r="M88" s="523"/>
      <c r="N88" s="523"/>
      <c r="O88" s="543" t="e">
        <f>#REF!</f>
        <v>#REF!</v>
      </c>
      <c r="P88" s="543" t="e">
        <f>#REF!</f>
        <v>#REF!</v>
      </c>
      <c r="Q88" s="543" t="e">
        <f>#REF!</f>
        <v>#REF!</v>
      </c>
      <c r="R88" s="543" t="e">
        <f>#REF!</f>
        <v>#REF!</v>
      </c>
      <c r="S88" s="543" t="e">
        <f>#REF!</f>
        <v>#REF!</v>
      </c>
      <c r="T88" s="543" t="e">
        <f>#REF!</f>
        <v>#REF!</v>
      </c>
      <c r="U88" s="548">
        <v>43</v>
      </c>
    </row>
    <row r="89" spans="1:21">
      <c r="A89" s="523"/>
      <c r="B89" s="523" t="s">
        <v>396</v>
      </c>
      <c r="C89" s="523"/>
      <c r="D89" s="523"/>
      <c r="E89" s="523"/>
      <c r="F89" s="523"/>
      <c r="G89" s="523"/>
      <c r="H89" s="523"/>
      <c r="I89" s="531" t="s">
        <v>336</v>
      </c>
      <c r="J89" s="523"/>
      <c r="K89" s="523"/>
      <c r="L89" s="523"/>
      <c r="M89" s="523"/>
      <c r="N89" s="523"/>
      <c r="O89" s="525" t="e">
        <f>SUM(O86:O88)</f>
        <v>#REF!</v>
      </c>
      <c r="P89" s="525" t="e">
        <f t="shared" ref="P89:T89" si="78">SUM(P86:P88)</f>
        <v>#REF!</v>
      </c>
      <c r="Q89" s="525" t="e">
        <f t="shared" si="78"/>
        <v>#REF!</v>
      </c>
      <c r="R89" s="525" t="e">
        <f t="shared" si="78"/>
        <v>#REF!</v>
      </c>
      <c r="S89" s="525" t="e">
        <f t="shared" si="78"/>
        <v>#REF!</v>
      </c>
      <c r="T89" s="525" t="e">
        <f t="shared" si="78"/>
        <v>#REF!</v>
      </c>
      <c r="U89" s="45">
        <f t="shared" ref="U89" si="79">U88+1</f>
        <v>44</v>
      </c>
    </row>
    <row r="90" spans="1:21">
      <c r="A90" s="523"/>
      <c r="B90" s="523"/>
      <c r="C90" s="523"/>
      <c r="D90" s="523"/>
      <c r="E90" s="523"/>
      <c r="F90" s="523"/>
      <c r="G90" s="523"/>
      <c r="H90" s="523"/>
      <c r="I90" s="541"/>
      <c r="J90" s="523"/>
      <c r="K90" s="523"/>
      <c r="L90" s="523"/>
      <c r="M90" s="523"/>
      <c r="N90" s="523"/>
      <c r="O90" s="559" t="e">
        <f t="shared" ref="O90:T90" si="80">O89-O20</f>
        <v>#REF!</v>
      </c>
      <c r="P90" s="559" t="e">
        <f t="shared" si="80"/>
        <v>#REF!</v>
      </c>
      <c r="Q90" s="559" t="e">
        <f t="shared" si="80"/>
        <v>#REF!</v>
      </c>
      <c r="R90" s="559" t="e">
        <f t="shared" si="80"/>
        <v>#REF!</v>
      </c>
      <c r="S90" s="559" t="e">
        <f t="shared" si="80"/>
        <v>#REF!</v>
      </c>
      <c r="T90" s="559" t="e">
        <f t="shared" si="80"/>
        <v>#REF!</v>
      </c>
      <c r="U90" s="548">
        <v>44</v>
      </c>
    </row>
    <row r="91" spans="1:21">
      <c r="A91" s="523"/>
      <c r="B91" s="523" t="s">
        <v>580</v>
      </c>
      <c r="C91" s="523"/>
      <c r="D91" s="523"/>
      <c r="E91" s="523"/>
      <c r="F91" s="523"/>
      <c r="G91" s="523"/>
      <c r="H91" s="523"/>
      <c r="I91" s="531" t="s">
        <v>336</v>
      </c>
      <c r="J91" s="523"/>
      <c r="K91" s="523"/>
      <c r="L91" s="523"/>
      <c r="M91" s="523"/>
      <c r="N91" s="523"/>
      <c r="O91" s="525" t="e">
        <f>O24</f>
        <v>#REF!</v>
      </c>
      <c r="P91" s="525" t="e">
        <f t="shared" ref="P91:T91" si="81">P24</f>
        <v>#REF!</v>
      </c>
      <c r="Q91" s="525" t="e">
        <f t="shared" si="81"/>
        <v>#REF!</v>
      </c>
      <c r="R91" s="525" t="e">
        <f t="shared" si="81"/>
        <v>#REF!</v>
      </c>
      <c r="S91" s="525" t="e">
        <f t="shared" si="81"/>
        <v>#REF!</v>
      </c>
      <c r="T91" s="525" t="e">
        <f t="shared" si="81"/>
        <v>#REF!</v>
      </c>
      <c r="U91" s="45">
        <f t="shared" ref="U91" si="82">U90+1</f>
        <v>45</v>
      </c>
    </row>
    <row r="92" spans="1:21">
      <c r="A92" s="523"/>
      <c r="B92" s="523"/>
      <c r="C92" s="523"/>
      <c r="D92" s="523"/>
      <c r="E92" s="523"/>
      <c r="F92" s="523"/>
      <c r="G92" s="523"/>
      <c r="H92" s="523"/>
      <c r="I92" s="541"/>
      <c r="J92" s="523"/>
      <c r="K92" s="523"/>
      <c r="L92" s="523"/>
      <c r="M92" s="523"/>
      <c r="N92" s="523"/>
      <c r="O92" s="525"/>
      <c r="P92" s="525"/>
      <c r="Q92" s="525"/>
      <c r="R92" s="525"/>
      <c r="S92" s="525"/>
      <c r="T92" s="525"/>
      <c r="U92" s="548">
        <v>45</v>
      </c>
    </row>
    <row r="93" spans="1:21">
      <c r="A93" s="523"/>
      <c r="B93" s="523" t="s">
        <v>742</v>
      </c>
      <c r="C93" s="523"/>
      <c r="D93" s="523"/>
      <c r="E93" s="523"/>
      <c r="F93" s="523"/>
      <c r="G93" s="523"/>
      <c r="H93" s="523"/>
      <c r="I93" s="524" t="s">
        <v>433</v>
      </c>
      <c r="J93" s="523"/>
      <c r="K93" s="523"/>
      <c r="L93" s="523"/>
      <c r="M93" s="523"/>
      <c r="N93" s="523"/>
      <c r="O93" s="523"/>
      <c r="P93" s="523"/>
      <c r="Q93" s="523"/>
      <c r="R93" s="523"/>
      <c r="S93" s="541" t="e">
        <f>S5/S60</f>
        <v>#REF!</v>
      </c>
      <c r="T93" s="541" t="e">
        <f>T5/T60</f>
        <v>#REF!</v>
      </c>
      <c r="U93" s="45">
        <f t="shared" ref="U93" si="83">U92+1</f>
        <v>46</v>
      </c>
    </row>
    <row r="94" spans="1:21">
      <c r="A94" s="523"/>
      <c r="B94" s="523" t="s">
        <v>743</v>
      </c>
      <c r="C94" s="523"/>
      <c r="D94" s="523"/>
      <c r="E94" s="523"/>
      <c r="F94" s="523"/>
      <c r="G94" s="523"/>
      <c r="H94" s="523"/>
      <c r="I94" s="544" t="s">
        <v>433</v>
      </c>
      <c r="J94" s="523"/>
      <c r="K94" s="523"/>
      <c r="L94" s="523"/>
      <c r="M94" s="523"/>
      <c r="N94" s="523"/>
      <c r="O94" s="545" t="e">
        <f t="shared" ref="O94:T94" si="84">O5/O17*100</f>
        <v>#REF!</v>
      </c>
      <c r="P94" s="545" t="e">
        <f t="shared" si="84"/>
        <v>#REF!</v>
      </c>
      <c r="Q94" s="545" t="e">
        <f t="shared" si="84"/>
        <v>#REF!</v>
      </c>
      <c r="R94" s="545" t="e">
        <f t="shared" si="84"/>
        <v>#REF!</v>
      </c>
      <c r="S94" s="545" t="e">
        <f t="shared" si="84"/>
        <v>#REF!</v>
      </c>
      <c r="T94" s="545" t="e">
        <f t="shared" si="84"/>
        <v>#REF!</v>
      </c>
      <c r="U94" s="548">
        <v>46</v>
      </c>
    </row>
    <row r="95" spans="1:21">
      <c r="A95" s="523"/>
      <c r="B95" s="523" t="s">
        <v>536</v>
      </c>
      <c r="C95" s="523"/>
      <c r="D95" s="523"/>
      <c r="E95" s="523"/>
      <c r="F95" s="523"/>
      <c r="G95" s="523"/>
      <c r="H95" s="523"/>
      <c r="I95" s="544" t="s">
        <v>433</v>
      </c>
      <c r="J95" s="523"/>
      <c r="K95" s="523"/>
      <c r="L95" s="523"/>
      <c r="M95" s="523"/>
      <c r="N95" s="523"/>
      <c r="O95" s="525"/>
      <c r="P95" s="525"/>
      <c r="Q95" s="525"/>
      <c r="R95" s="525"/>
      <c r="S95" s="525"/>
      <c r="T95" s="525"/>
      <c r="U95" s="45">
        <f t="shared" ref="U95" si="85">U94+1</f>
        <v>47</v>
      </c>
    </row>
    <row r="96" spans="1:21">
      <c r="A96" s="523"/>
      <c r="B96" s="523"/>
      <c r="C96" s="523"/>
      <c r="D96" s="523"/>
      <c r="E96" s="523"/>
      <c r="F96" s="523"/>
      <c r="G96" s="523"/>
      <c r="H96" s="523"/>
      <c r="I96" s="523"/>
      <c r="J96" s="523"/>
      <c r="K96" s="523"/>
      <c r="L96" s="523"/>
      <c r="M96" s="523"/>
      <c r="N96" s="523"/>
      <c r="O96" s="525"/>
      <c r="P96" s="525"/>
      <c r="Q96" s="525"/>
      <c r="R96" s="525"/>
      <c r="S96" s="525"/>
      <c r="T96" s="525"/>
      <c r="U96" s="548">
        <v>47</v>
      </c>
    </row>
    <row r="97" spans="1:21">
      <c r="A97" s="523"/>
      <c r="B97" s="523" t="s">
        <v>522</v>
      </c>
      <c r="C97" s="523"/>
      <c r="D97" s="523"/>
      <c r="E97" s="523"/>
      <c r="F97" s="523"/>
      <c r="G97" s="523"/>
      <c r="H97" s="523"/>
      <c r="I97" s="523"/>
      <c r="J97" s="523"/>
      <c r="K97" s="523"/>
      <c r="L97" s="523"/>
      <c r="M97" s="523"/>
      <c r="N97" s="523"/>
      <c r="O97" s="546" t="e">
        <f>O86/O89</f>
        <v>#REF!</v>
      </c>
      <c r="P97" s="546" t="e">
        <f t="shared" ref="P97:T97" si="86">P86/P89</f>
        <v>#REF!</v>
      </c>
      <c r="Q97" s="546" t="e">
        <f t="shared" si="86"/>
        <v>#REF!</v>
      </c>
      <c r="R97" s="546" t="e">
        <f t="shared" si="86"/>
        <v>#REF!</v>
      </c>
      <c r="S97" s="546" t="e">
        <f t="shared" si="86"/>
        <v>#REF!</v>
      </c>
      <c r="T97" s="546" t="e">
        <f t="shared" si="86"/>
        <v>#REF!</v>
      </c>
      <c r="U97" s="45">
        <f t="shared" ref="U97" si="87">U96+1</f>
        <v>48</v>
      </c>
    </row>
    <row r="98" spans="1:21">
      <c r="A98" s="523"/>
      <c r="B98" s="523" t="s">
        <v>532</v>
      </c>
      <c r="C98" s="523"/>
      <c r="D98" s="523"/>
      <c r="E98" s="523"/>
      <c r="F98" s="523"/>
      <c r="G98" s="523"/>
      <c r="H98" s="523"/>
      <c r="I98" s="523"/>
      <c r="J98" s="523"/>
      <c r="K98" s="523"/>
      <c r="L98" s="523"/>
      <c r="M98" s="523"/>
      <c r="N98" s="523"/>
      <c r="O98" s="560"/>
      <c r="P98" s="560"/>
      <c r="Q98" s="560"/>
      <c r="R98" s="560"/>
      <c r="S98" s="560"/>
      <c r="T98" s="560"/>
      <c r="U98" s="548">
        <v>48</v>
      </c>
    </row>
    <row r="99" spans="1:21">
      <c r="A99" s="535"/>
      <c r="B99" s="535"/>
      <c r="C99" s="535"/>
      <c r="D99" s="535"/>
      <c r="E99" s="535"/>
      <c r="F99" s="535"/>
      <c r="G99" s="535"/>
      <c r="H99" s="535"/>
      <c r="I99" s="535"/>
      <c r="J99" s="523"/>
      <c r="K99" s="523"/>
      <c r="L99" s="523"/>
      <c r="M99" s="523"/>
      <c r="N99" s="535"/>
      <c r="O99" s="543"/>
      <c r="P99" s="543"/>
      <c r="Q99" s="543"/>
      <c r="R99" s="543"/>
      <c r="S99" s="543"/>
      <c r="T99" s="543"/>
    </row>
  </sheetData>
  <mergeCells count="3">
    <mergeCell ref="P1:R1"/>
    <mergeCell ref="A1:D1"/>
    <mergeCell ref="F1:G1"/>
  </mergeCells>
  <printOptions headings="1" gridLines="1"/>
  <pageMargins left="0.70866141732283472" right="0.70866141732283472" top="0.74803149606299213" bottom="0.74803149606299213" header="0.31496062992125984" footer="0.31496062992125984"/>
  <pageSetup paperSize="9" scale="59" fitToHeight="0" orientation="landscape" horizontalDpi="0" verticalDpi="0" r:id="rId1"/>
  <headerFooter>
    <oddHeader>&amp;L&amp;8&amp;D&amp;C&amp;8DRAFT&amp;R&amp;8&amp;A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AW721"/>
  <sheetViews>
    <sheetView workbookViewId="0"/>
  </sheetViews>
  <sheetFormatPr defaultRowHeight="12.75"/>
  <cols>
    <col min="1" max="1" width="12" customWidth="1"/>
    <col min="2" max="2" width="6" customWidth="1"/>
    <col min="3" max="3" width="11.28515625" customWidth="1"/>
    <col min="4" max="4" width="11" bestFit="1" customWidth="1"/>
    <col min="5" max="5" width="9" customWidth="1"/>
    <col min="6" max="6" width="10.5703125" customWidth="1"/>
    <col min="7" max="7" width="10" customWidth="1"/>
    <col min="8" max="9" width="8.5703125" customWidth="1"/>
    <col min="10" max="10" width="2.28515625" customWidth="1"/>
    <col min="11" max="11" width="1.85546875" customWidth="1"/>
    <col min="12" max="12" width="8.5703125" customWidth="1"/>
    <col min="13" max="13" width="12.5703125" customWidth="1"/>
    <col min="14" max="14" width="10" customWidth="1"/>
    <col min="15" max="15" width="10.28515625" customWidth="1"/>
    <col min="16" max="16" width="10" customWidth="1"/>
    <col min="17" max="17" width="8.85546875" customWidth="1"/>
    <col min="18" max="18" width="9.5703125" customWidth="1"/>
    <col min="19" max="19" width="9" customWidth="1"/>
    <col min="20" max="20" width="10.85546875" customWidth="1"/>
    <col min="21" max="21" width="4.85546875" customWidth="1"/>
    <col min="22" max="23" width="10" bestFit="1" customWidth="1"/>
    <col min="24" max="24" width="1.5703125" customWidth="1"/>
    <col min="25" max="25" width="11" customWidth="1"/>
    <col min="27" max="27" width="4" bestFit="1" customWidth="1"/>
    <col min="28" max="30" width="8.85546875" bestFit="1" customWidth="1"/>
    <col min="40" max="40" width="2.85546875" customWidth="1"/>
    <col min="41" max="41" width="7.85546875" customWidth="1"/>
    <col min="42" max="42" width="9.28515625" customWidth="1"/>
    <col min="43" max="43" width="10" customWidth="1"/>
    <col min="44" max="44" width="9.85546875" customWidth="1"/>
    <col min="46" max="46" width="9.85546875" customWidth="1"/>
  </cols>
  <sheetData>
    <row r="1" spans="1:31" ht="78" customHeight="1" thickBot="1">
      <c r="A1" s="1015" t="s">
        <v>193</v>
      </c>
      <c r="B1" s="1015"/>
      <c r="C1" s="858" t="e">
        <f>#REF!</f>
        <v>#REF!</v>
      </c>
      <c r="D1" s="684"/>
      <c r="E1" s="684"/>
      <c r="F1" s="859"/>
      <c r="G1" s="859"/>
      <c r="H1" s="859"/>
      <c r="I1" s="859"/>
      <c r="J1" s="859"/>
      <c r="K1" s="751"/>
      <c r="L1" s="859"/>
      <c r="M1" s="859"/>
      <c r="N1" s="859"/>
      <c r="O1" s="859"/>
      <c r="P1" s="859"/>
      <c r="Q1" s="859"/>
      <c r="R1" s="859"/>
      <c r="S1" s="859"/>
      <c r="T1" s="751" t="e">
        <f>#REF!</f>
        <v>#REF!</v>
      </c>
      <c r="U1" s="859"/>
      <c r="V1" s="859"/>
      <c r="W1" s="859"/>
      <c r="X1" s="859"/>
      <c r="Y1" s="859"/>
      <c r="Z1" s="684"/>
      <c r="AA1" s="684"/>
      <c r="AB1" s="684"/>
      <c r="AC1" s="684"/>
      <c r="AD1" s="684"/>
      <c r="AE1" s="684"/>
    </row>
    <row r="2" spans="1:31" hidden="1">
      <c r="B2" s="231" t="s">
        <v>744</v>
      </c>
      <c r="C2" s="232"/>
      <c r="D2" s="456" t="s">
        <v>745</v>
      </c>
      <c r="E2" s="4"/>
      <c r="F2" s="4"/>
      <c r="G2" s="4"/>
      <c r="H2" s="4"/>
      <c r="I2" s="4"/>
      <c r="J2" s="4"/>
      <c r="K2" s="4"/>
      <c r="L2" s="4"/>
      <c r="M2" s="4"/>
      <c r="N2" s="4"/>
      <c r="O2" s="4"/>
      <c r="P2" s="4"/>
      <c r="Q2" s="4"/>
      <c r="R2" s="4"/>
      <c r="S2" s="4"/>
      <c r="T2" s="4"/>
      <c r="U2" s="4"/>
      <c r="V2" s="4"/>
      <c r="W2" s="4"/>
      <c r="X2" s="4"/>
      <c r="Y2" s="4"/>
    </row>
    <row r="3" spans="1:31" hidden="1"/>
    <row r="4" spans="1:31" ht="13.5" hidden="1">
      <c r="B4" s="40" t="s">
        <v>746</v>
      </c>
      <c r="C4" s="40"/>
      <c r="D4" s="40"/>
      <c r="E4" s="40"/>
      <c r="F4" s="28"/>
      <c r="G4" s="28"/>
      <c r="I4" s="305"/>
    </row>
    <row r="5" spans="1:31" hidden="1">
      <c r="F5" s="1"/>
      <c r="G5" s="1"/>
      <c r="I5" s="1"/>
      <c r="J5" s="1"/>
      <c r="K5" s="1"/>
      <c r="L5" s="1"/>
      <c r="M5" s="1"/>
    </row>
    <row r="6" spans="1:31" ht="19.5" hidden="1">
      <c r="B6" s="472" t="str">
        <f>I8</f>
        <v>Increasing EVA drives shareholder value</v>
      </c>
      <c r="C6" s="473"/>
      <c r="D6" s="473"/>
      <c r="E6" s="473"/>
      <c r="F6" s="473"/>
      <c r="G6" s="473"/>
      <c r="I6" s="299" t="s">
        <v>747</v>
      </c>
      <c r="N6">
        <v>1</v>
      </c>
      <c r="O6" s="479" t="s">
        <v>748</v>
      </c>
      <c r="P6" s="480"/>
      <c r="R6" s="479" t="s">
        <v>749</v>
      </c>
      <c r="S6" s="480"/>
    </row>
    <row r="7" spans="1:31" ht="16.5" hidden="1">
      <c r="B7" s="474" t="str">
        <f>'X-Chart Basics'!F21</f>
        <v>The Warehouse v. Briscoe</v>
      </c>
      <c r="C7" s="473"/>
      <c r="D7" s="473"/>
      <c r="E7" s="473"/>
      <c r="F7" s="473"/>
      <c r="G7" s="473"/>
      <c r="I7" s="299" t="s">
        <v>750</v>
      </c>
    </row>
    <row r="8" spans="1:31" ht="19.5" hidden="1">
      <c r="B8" s="475" t="s">
        <v>751</v>
      </c>
      <c r="C8" s="473"/>
      <c r="D8" s="473"/>
      <c r="E8" s="473"/>
      <c r="F8" s="473"/>
      <c r="G8" s="473"/>
      <c r="I8" s="315" t="s">
        <v>752</v>
      </c>
      <c r="N8">
        <v>2</v>
      </c>
      <c r="O8" s="479" t="s">
        <v>537</v>
      </c>
      <c r="P8" s="480"/>
      <c r="R8" s="479" t="s">
        <v>753</v>
      </c>
      <c r="S8" s="480"/>
    </row>
    <row r="9" spans="1:31" ht="13.5" hidden="1">
      <c r="B9" s="476" t="str">
        <f>'X-Chart Basics'!F23</f>
        <v>Millions of Dollars</v>
      </c>
      <c r="C9" s="473"/>
      <c r="D9" s="473"/>
      <c r="E9" s="473"/>
      <c r="F9" s="473"/>
      <c r="G9" s="473"/>
      <c r="I9" s="299" t="s">
        <v>754</v>
      </c>
      <c r="O9" s="311"/>
    </row>
    <row r="10" spans="1:31" ht="13.5" hidden="1">
      <c r="B10" s="473"/>
      <c r="C10" s="473"/>
      <c r="D10" s="473"/>
      <c r="E10" s="473"/>
      <c r="F10" s="473"/>
      <c r="G10" s="473"/>
      <c r="I10" s="299" t="s">
        <v>755</v>
      </c>
      <c r="N10">
        <v>3</v>
      </c>
      <c r="O10" s="479" t="s">
        <v>756</v>
      </c>
      <c r="P10" s="480"/>
      <c r="R10" s="479" t="s">
        <v>757</v>
      </c>
      <c r="S10" s="480"/>
    </row>
    <row r="11" spans="1:31" ht="13.5" hidden="1">
      <c r="B11" s="473"/>
      <c r="C11" s="473"/>
      <c r="D11" s="473"/>
      <c r="E11" s="473"/>
      <c r="F11" s="473"/>
      <c r="G11" s="473"/>
      <c r="I11" s="299" t="s">
        <v>758</v>
      </c>
    </row>
    <row r="12" spans="1:31" ht="13.5" hidden="1">
      <c r="B12" s="473"/>
      <c r="C12" s="473"/>
      <c r="D12" s="473"/>
      <c r="E12" s="473"/>
      <c r="F12" s="473"/>
      <c r="G12" s="473"/>
      <c r="I12" s="299" t="s">
        <v>759</v>
      </c>
      <c r="N12">
        <v>4</v>
      </c>
      <c r="O12" s="479" t="s">
        <v>760</v>
      </c>
      <c r="P12" s="480"/>
      <c r="R12" s="479" t="s">
        <v>608</v>
      </c>
      <c r="S12" s="480"/>
    </row>
    <row r="13" spans="1:31" ht="13.5" hidden="1">
      <c r="B13" s="473"/>
      <c r="C13" s="473"/>
      <c r="D13" s="473"/>
      <c r="E13" s="473"/>
      <c r="F13" s="473"/>
      <c r="G13" s="473"/>
      <c r="I13" s="299" t="s">
        <v>761</v>
      </c>
    </row>
    <row r="14" spans="1:31" ht="13.5" hidden="1">
      <c r="B14" s="473"/>
      <c r="C14" s="473"/>
      <c r="D14" s="473"/>
      <c r="E14" s="473"/>
      <c r="F14" s="473"/>
      <c r="G14" s="473"/>
      <c r="I14" s="299" t="s">
        <v>762</v>
      </c>
      <c r="N14">
        <v>5</v>
      </c>
      <c r="O14" s="479" t="s">
        <v>763</v>
      </c>
      <c r="P14" s="480"/>
    </row>
    <row r="15" spans="1:31" ht="13.5" hidden="1">
      <c r="B15" s="473"/>
      <c r="C15" s="473"/>
      <c r="D15" s="473"/>
      <c r="E15" s="473"/>
      <c r="F15" s="473"/>
      <c r="G15" s="473"/>
      <c r="I15" s="299" t="s">
        <v>764</v>
      </c>
    </row>
    <row r="16" spans="1:31" hidden="1">
      <c r="B16" s="473"/>
      <c r="C16" s="473"/>
      <c r="D16" s="473"/>
      <c r="E16" s="473"/>
      <c r="F16" s="473"/>
      <c r="G16" s="473"/>
      <c r="N16">
        <v>6</v>
      </c>
      <c r="O16" s="479" t="s">
        <v>765</v>
      </c>
      <c r="P16" s="480"/>
    </row>
    <row r="17" spans="2:16" hidden="1">
      <c r="B17" s="473"/>
      <c r="C17" s="473"/>
      <c r="D17" s="473"/>
      <c r="E17" s="473"/>
      <c r="F17" s="473"/>
      <c r="G17" s="473"/>
    </row>
    <row r="18" spans="2:16" hidden="1">
      <c r="B18" s="473"/>
      <c r="C18" s="473"/>
      <c r="D18" s="473"/>
      <c r="E18" s="473"/>
      <c r="F18" s="473"/>
      <c r="G18" s="473"/>
      <c r="N18">
        <v>7</v>
      </c>
      <c r="O18" s="479" t="s">
        <v>766</v>
      </c>
      <c r="P18" s="480"/>
    </row>
    <row r="19" spans="2:16" hidden="1">
      <c r="B19" s="473"/>
      <c r="C19" s="473"/>
      <c r="D19" s="473"/>
      <c r="E19" s="473"/>
      <c r="F19" s="473"/>
      <c r="G19" s="473"/>
    </row>
    <row r="20" spans="2:16" hidden="1">
      <c r="B20" s="473"/>
      <c r="C20" s="473"/>
      <c r="D20" s="473"/>
      <c r="E20" s="473"/>
      <c r="F20" s="473"/>
      <c r="G20" s="473"/>
      <c r="N20">
        <v>8</v>
      </c>
      <c r="O20" s="479" t="s">
        <v>767</v>
      </c>
      <c r="P20" s="480"/>
    </row>
    <row r="21" spans="2:16" hidden="1">
      <c r="B21" s="473"/>
      <c r="C21" s="473"/>
      <c r="D21" s="473"/>
      <c r="E21" s="473"/>
      <c r="F21" s="473"/>
      <c r="G21" s="473"/>
    </row>
    <row r="22" spans="2:16" hidden="1">
      <c r="B22" s="473"/>
      <c r="C22" s="473"/>
      <c r="D22" s="473"/>
      <c r="E22" s="473"/>
      <c r="F22" s="473"/>
      <c r="G22" s="473"/>
      <c r="N22">
        <v>9</v>
      </c>
      <c r="O22" s="479" t="s">
        <v>521</v>
      </c>
      <c r="P22" s="480"/>
    </row>
    <row r="23" spans="2:16" hidden="1">
      <c r="B23" s="473"/>
      <c r="C23" s="473"/>
      <c r="D23" s="473"/>
      <c r="E23" s="473"/>
      <c r="F23" s="473"/>
      <c r="G23" s="473"/>
    </row>
    <row r="24" spans="2:16" hidden="1">
      <c r="B24" s="477" t="s">
        <v>758</v>
      </c>
      <c r="C24" s="473"/>
      <c r="D24" s="473"/>
      <c r="E24" s="473"/>
      <c r="F24" s="473"/>
      <c r="G24" s="473"/>
      <c r="N24">
        <v>10</v>
      </c>
      <c r="O24" s="479" t="s">
        <v>515</v>
      </c>
      <c r="P24" s="480"/>
    </row>
    <row r="25" spans="2:16" hidden="1">
      <c r="B25" s="477" t="str">
        <f>I14</f>
        <v>Over last 4 years BRG EVA is $103m; WHS $6m</v>
      </c>
      <c r="C25" s="473"/>
      <c r="D25" s="473"/>
      <c r="E25" s="473"/>
      <c r="F25" s="473"/>
      <c r="G25" s="473"/>
    </row>
    <row r="26" spans="2:16" ht="13.5" hidden="1">
      <c r="B26" s="478"/>
      <c r="C26" s="473"/>
      <c r="D26" s="473"/>
      <c r="E26" s="473"/>
      <c r="F26" s="473"/>
      <c r="G26" s="473"/>
      <c r="N26">
        <v>11</v>
      </c>
      <c r="O26" s="479" t="s">
        <v>532</v>
      </c>
      <c r="P26" s="480"/>
    </row>
    <row r="27" spans="2:16" ht="13.5" hidden="1">
      <c r="B27" s="477" t="str">
        <f>'X-Chart Basics'!D20</f>
        <v>Source: Annual Reports</v>
      </c>
      <c r="C27" s="473"/>
      <c r="D27" s="473"/>
      <c r="E27" s="473"/>
      <c r="F27" s="473"/>
      <c r="G27" s="478"/>
    </row>
    <row r="28" spans="2:16" hidden="1">
      <c r="B28" s="477" t="str">
        <f>'X-Chart Basics'!F18</f>
        <v xml:space="preserve">Ireland, Wallace &amp; Associates </v>
      </c>
      <c r="C28" s="473"/>
      <c r="D28" s="473"/>
      <c r="E28" s="473"/>
      <c r="F28" s="473"/>
      <c r="G28" s="473"/>
      <c r="N28">
        <v>12</v>
      </c>
      <c r="O28" s="479"/>
      <c r="P28" s="480"/>
    </row>
    <row r="29" spans="2:16" hidden="1"/>
    <row r="30" spans="2:16" hidden="1">
      <c r="B30" s="1" t="s">
        <v>768</v>
      </c>
    </row>
    <row r="31" spans="2:16" ht="15" hidden="1">
      <c r="B31" s="265"/>
      <c r="C31" s="266" t="s">
        <v>336</v>
      </c>
      <c r="D31" s="277">
        <v>2008</v>
      </c>
      <c r="E31" s="277">
        <f t="shared" ref="E31:M31" si="0">D31+1</f>
        <v>2009</v>
      </c>
      <c r="F31" s="277">
        <f t="shared" si="0"/>
        <v>2010</v>
      </c>
      <c r="G31" s="277">
        <f t="shared" si="0"/>
        <v>2011</v>
      </c>
      <c r="H31" s="277">
        <f t="shared" si="0"/>
        <v>2012</v>
      </c>
      <c r="I31" s="277">
        <f t="shared" si="0"/>
        <v>2013</v>
      </c>
      <c r="J31" s="277">
        <f t="shared" si="0"/>
        <v>2014</v>
      </c>
      <c r="K31" s="277">
        <f t="shared" si="0"/>
        <v>2015</v>
      </c>
      <c r="L31" s="277">
        <f t="shared" si="0"/>
        <v>2016</v>
      </c>
      <c r="M31" s="277">
        <f t="shared" si="0"/>
        <v>2017</v>
      </c>
      <c r="N31" s="367" t="s">
        <v>769</v>
      </c>
      <c r="O31" s="367" t="s">
        <v>770</v>
      </c>
      <c r="P31" s="367" t="s">
        <v>771</v>
      </c>
    </row>
    <row r="32" spans="2:16" hidden="1">
      <c r="B32" s="325" t="s">
        <v>667</v>
      </c>
      <c r="C32" s="325"/>
      <c r="D32" s="324" t="e">
        <f>'18 Data for Charts'!O5/1000</f>
        <v>#REF!</v>
      </c>
      <c r="E32" s="324" t="e">
        <f>'18 Data for Charts'!P5/1000</f>
        <v>#REF!</v>
      </c>
      <c r="F32" s="324" t="e">
        <f>'18 Data for Charts'!Q5/1000</f>
        <v>#REF!</v>
      </c>
      <c r="G32" s="324" t="e">
        <f>'18 Data for Charts'!R5/1000</f>
        <v>#REF!</v>
      </c>
      <c r="H32" s="324" t="e">
        <f>'18 Data for Charts'!S5/1000</f>
        <v>#REF!</v>
      </c>
      <c r="I32" s="324" t="e">
        <f>'18 Data for Charts'!T5/1000</f>
        <v>#REF!</v>
      </c>
      <c r="J32" s="324" t="e">
        <f>'18 Data for Charts'!#REF!/1000</f>
        <v>#REF!</v>
      </c>
      <c r="K32" s="324" t="e">
        <f>'18 Data for Charts'!#REF!/1000</f>
        <v>#REF!</v>
      </c>
      <c r="L32" s="324" t="e">
        <f>'18 Data for Charts'!#REF!/1000</f>
        <v>#REF!</v>
      </c>
      <c r="M32" s="324" t="e">
        <f>'18 Data for Charts'!#REF!/1000</f>
        <v>#REF!</v>
      </c>
      <c r="N32" s="292"/>
      <c r="O32" s="300"/>
      <c r="P32" s="300"/>
    </row>
    <row r="33" spans="2:17" ht="13.5" hidden="1">
      <c r="B33" s="326" t="s">
        <v>666</v>
      </c>
      <c r="C33" s="327" t="s">
        <v>336</v>
      </c>
      <c r="D33" s="324" t="e">
        <f>#REF!/1000</f>
        <v>#REF!</v>
      </c>
      <c r="E33" s="324" t="e">
        <f>#REF!/1000</f>
        <v>#REF!</v>
      </c>
      <c r="F33" s="324" t="e">
        <f>#REF!/1000</f>
        <v>#REF!</v>
      </c>
      <c r="G33" s="324" t="e">
        <f>#REF!/1000</f>
        <v>#REF!</v>
      </c>
      <c r="H33" s="324" t="e">
        <f>#REF!/1000</f>
        <v>#REF!</v>
      </c>
      <c r="I33" s="324" t="e">
        <f>#REF!/1000</f>
        <v>#REF!</v>
      </c>
      <c r="J33" s="324" t="e">
        <f>#REF!/1000</f>
        <v>#REF!</v>
      </c>
      <c r="K33" s="324" t="e">
        <f>#REF!/1000</f>
        <v>#REF!</v>
      </c>
      <c r="L33" s="324" t="e">
        <f>#REF!/1000</f>
        <v>#REF!</v>
      </c>
      <c r="M33" s="324" t="e">
        <f>#REF!/1000</f>
        <v>#REF!</v>
      </c>
      <c r="N33" s="293"/>
      <c r="O33" s="301"/>
      <c r="P33" s="301"/>
    </row>
    <row r="34" spans="2:17" hidden="1">
      <c r="D34" s="1"/>
      <c r="E34" s="1"/>
      <c r="F34" s="1"/>
      <c r="G34" s="6"/>
      <c r="I34" s="19"/>
      <c r="J34" s="19"/>
      <c r="K34" s="19"/>
      <c r="L34" s="19"/>
      <c r="M34" s="19"/>
      <c r="N34" s="33"/>
      <c r="O34" s="19"/>
      <c r="P34" s="19"/>
      <c r="Q34" s="33"/>
    </row>
    <row r="35" spans="2:17" ht="14.25" hidden="1">
      <c r="B35" s="40" t="s">
        <v>772</v>
      </c>
      <c r="C35" s="40"/>
      <c r="D35" s="394"/>
      <c r="E35" s="394"/>
      <c r="F35" s="28"/>
      <c r="G35" s="28"/>
      <c r="I35" s="19"/>
      <c r="J35" s="19"/>
      <c r="K35" s="19"/>
      <c r="L35" s="19"/>
      <c r="M35" s="19"/>
      <c r="N35" s="33"/>
      <c r="O35" s="19"/>
      <c r="P35" s="19"/>
      <c r="Q35" s="33"/>
    </row>
    <row r="36" spans="2:17" ht="14.25" hidden="1">
      <c r="C36" s="15"/>
    </row>
    <row r="37" spans="2:17" ht="19.5" hidden="1">
      <c r="B37" s="312" t="str">
        <f>I37</f>
        <v>Returns above cost of capital</v>
      </c>
      <c r="C37" s="314"/>
      <c r="D37" s="314"/>
      <c r="E37" s="314"/>
      <c r="F37" s="302"/>
      <c r="G37" s="83"/>
      <c r="I37" s="315" t="s">
        <v>773</v>
      </c>
      <c r="J37" s="33"/>
    </row>
    <row r="38" spans="2:17" ht="16.5" hidden="1">
      <c r="B38" s="298" t="s">
        <v>774</v>
      </c>
      <c r="C38" s="83"/>
      <c r="D38" s="83"/>
      <c r="E38" s="83"/>
      <c r="F38" s="302"/>
      <c r="G38" s="83"/>
      <c r="I38" s="299" t="s">
        <v>556</v>
      </c>
      <c r="J38" s="33"/>
    </row>
    <row r="39" spans="2:17" ht="13.5" hidden="1">
      <c r="B39" s="295" t="str">
        <f>'X-Chart Basics'!D21</f>
        <v>2008 to 2016</v>
      </c>
      <c r="C39" s="83"/>
      <c r="D39" s="83"/>
      <c r="E39" s="83"/>
      <c r="F39" s="302"/>
      <c r="G39" s="83"/>
      <c r="I39" s="299" t="s">
        <v>775</v>
      </c>
      <c r="J39" s="33"/>
    </row>
    <row r="40" spans="2:17" ht="13.5" hidden="1">
      <c r="B40" s="296"/>
      <c r="C40" s="83"/>
      <c r="D40" s="83"/>
      <c r="E40" s="83"/>
      <c r="F40" s="302"/>
      <c r="G40" s="83"/>
      <c r="I40" s="299" t="s">
        <v>776</v>
      </c>
      <c r="J40" s="33"/>
    </row>
    <row r="41" spans="2:17" ht="13.5" hidden="1">
      <c r="F41" s="302"/>
      <c r="I41" s="299" t="s">
        <v>777</v>
      </c>
      <c r="J41" s="33"/>
    </row>
    <row r="42" spans="2:17" hidden="1">
      <c r="F42" s="302"/>
      <c r="J42" s="33"/>
    </row>
    <row r="43" spans="2:17" hidden="1">
      <c r="F43" s="302"/>
      <c r="J43" s="33"/>
    </row>
    <row r="44" spans="2:17" hidden="1">
      <c r="F44" s="302"/>
      <c r="J44" s="33"/>
    </row>
    <row r="45" spans="2:17" hidden="1">
      <c r="F45" s="302"/>
      <c r="J45" s="33"/>
    </row>
    <row r="46" spans="2:17" hidden="1">
      <c r="F46" s="302"/>
      <c r="J46" s="33"/>
    </row>
    <row r="47" spans="2:17" hidden="1">
      <c r="F47" s="302"/>
      <c r="J47" s="33"/>
    </row>
    <row r="48" spans="2:17" hidden="1">
      <c r="F48" s="302"/>
      <c r="J48" s="33"/>
    </row>
    <row r="49" spans="2:10" hidden="1">
      <c r="F49" s="302"/>
      <c r="J49" s="33"/>
    </row>
    <row r="50" spans="2:10" hidden="1">
      <c r="F50" s="302"/>
      <c r="J50" s="33"/>
    </row>
    <row r="51" spans="2:10" hidden="1">
      <c r="F51" s="83"/>
    </row>
    <row r="52" spans="2:10" hidden="1">
      <c r="F52" s="83"/>
    </row>
    <row r="53" spans="2:10" hidden="1">
      <c r="F53" s="83"/>
    </row>
    <row r="54" spans="2:10" hidden="1">
      <c r="F54" s="83"/>
    </row>
    <row r="55" spans="2:10" hidden="1">
      <c r="B55" s="295" t="str">
        <f>I40</f>
        <v>Briscoe Group has increased its return on capital evry year from 2011</v>
      </c>
      <c r="C55" s="83"/>
      <c r="D55" s="83"/>
      <c r="E55" s="83"/>
      <c r="F55" s="83"/>
      <c r="G55" s="83"/>
    </row>
    <row r="56" spans="2:10" hidden="1">
      <c r="B56" s="295" t="str">
        <f>I41</f>
        <v>In 2016 the return exceeded the cost of capital by +12.3%</v>
      </c>
      <c r="C56" s="83"/>
      <c r="D56" s="83"/>
      <c r="E56" s="83"/>
      <c r="F56" s="83"/>
      <c r="G56" s="83"/>
    </row>
    <row r="57" spans="2:10" ht="13.5" hidden="1">
      <c r="B57" s="297"/>
      <c r="C57" s="83"/>
      <c r="D57" s="83"/>
      <c r="E57" s="83"/>
      <c r="F57" s="83"/>
      <c r="G57" s="83"/>
    </row>
    <row r="58" spans="2:10" ht="13.5" hidden="1">
      <c r="B58" s="297" t="str">
        <f>'X-Chart Basics'!D20</f>
        <v>Source: Annual Reports</v>
      </c>
      <c r="C58" s="83"/>
      <c r="D58" s="83"/>
      <c r="E58" s="83"/>
      <c r="F58" s="83"/>
      <c r="G58" s="83"/>
    </row>
    <row r="59" spans="2:10" ht="13.5" hidden="1">
      <c r="B59" s="297" t="str">
        <f>'X-Chart Basics'!F18</f>
        <v xml:space="preserve">Ireland, Wallace &amp; Associates </v>
      </c>
      <c r="C59" s="83"/>
      <c r="D59" s="83"/>
      <c r="E59" s="83"/>
      <c r="F59" s="83"/>
      <c r="G59" s="83"/>
    </row>
    <row r="60" spans="2:10" hidden="1"/>
    <row r="61" spans="2:10" hidden="1">
      <c r="B61" s="1" t="s">
        <v>778</v>
      </c>
    </row>
    <row r="62" spans="2:10" ht="15" hidden="1">
      <c r="B62" s="85"/>
      <c r="C62" s="85"/>
      <c r="D62" s="274">
        <v>2012</v>
      </c>
      <c r="E62" s="274">
        <f t="shared" ref="E62:I62" si="1">D62+1</f>
        <v>2013</v>
      </c>
      <c r="F62" s="274">
        <f t="shared" si="1"/>
        <v>2014</v>
      </c>
      <c r="G62" s="274">
        <f t="shared" si="1"/>
        <v>2015</v>
      </c>
      <c r="H62" s="274">
        <f t="shared" si="1"/>
        <v>2016</v>
      </c>
      <c r="I62" s="274">
        <f t="shared" si="1"/>
        <v>2017</v>
      </c>
    </row>
    <row r="63" spans="2:10" ht="87" customHeight="1">
      <c r="B63" s="325" t="s">
        <v>667</v>
      </c>
      <c r="C63" s="325"/>
      <c r="D63" s="87" t="e">
        <f>'18 Data for Charts'!S10</f>
        <v>#REF!</v>
      </c>
      <c r="E63" s="87" t="e">
        <f>'18 Data for Charts'!T10</f>
        <v>#REF!</v>
      </c>
      <c r="F63" s="87" t="e">
        <f>'18 Data for Charts'!#REF!</f>
        <v>#REF!</v>
      </c>
      <c r="G63" s="87" t="e">
        <f>'18 Data for Charts'!#REF!</f>
        <v>#REF!</v>
      </c>
      <c r="H63" s="87" t="e">
        <f>'18 Data for Charts'!#REF!</f>
        <v>#REF!</v>
      </c>
      <c r="I63" s="87" t="e">
        <f>'18 Data for Charts'!#REF!</f>
        <v>#REF!</v>
      </c>
    </row>
    <row r="64" spans="2:10" ht="87" customHeight="1">
      <c r="B64" s="85" t="s">
        <v>779</v>
      </c>
      <c r="C64" s="275"/>
      <c r="D64" s="87">
        <f>'Econ-Perf 1'!N21</f>
        <v>0</v>
      </c>
      <c r="E64" s="87" t="e">
        <f>'Econ-Perf 1'!O21</f>
        <v>#REF!</v>
      </c>
      <c r="F64" s="87" t="e">
        <f>'Econ-Perf 1'!P21</f>
        <v>#REF!</v>
      </c>
      <c r="G64" s="87" t="e">
        <f>'Econ-Perf 1'!Q21</f>
        <v>#REF!</v>
      </c>
      <c r="H64" s="87" t="e">
        <f>'Econ-Perf 1'!R21</f>
        <v>#REF!</v>
      </c>
      <c r="I64" s="87" t="e">
        <f>'Econ-Perf 1'!S21</f>
        <v>#REF!</v>
      </c>
    </row>
    <row r="65" spans="2:49">
      <c r="C65" s="20"/>
      <c r="D65" s="41"/>
      <c r="E65" s="41"/>
      <c r="F65" s="41"/>
      <c r="G65" s="41"/>
      <c r="H65" s="41"/>
      <c r="I65" s="41"/>
      <c r="J65" s="41"/>
      <c r="K65" s="41"/>
      <c r="L65" s="41"/>
      <c r="M65" s="41"/>
    </row>
    <row r="66" spans="2:49">
      <c r="B66" s="202" t="s">
        <v>746</v>
      </c>
      <c r="C66" s="202"/>
      <c r="D66" s="85"/>
      <c r="E66" s="85"/>
      <c r="F66" s="85"/>
      <c r="G66" s="85"/>
      <c r="H66" s="85"/>
      <c r="L66" s="202" t="s">
        <v>772</v>
      </c>
      <c r="M66" s="202"/>
      <c r="N66" s="85"/>
      <c r="O66" s="85"/>
      <c r="P66" s="85"/>
      <c r="Q66" s="85"/>
      <c r="R66" s="85"/>
      <c r="AF66" s="242"/>
      <c r="AN66" s="249"/>
      <c r="AO66" s="249"/>
      <c r="AR66" s="249"/>
      <c r="AS66" s="249"/>
      <c r="AT66" s="249"/>
      <c r="AU66" s="249"/>
      <c r="AV66" s="249"/>
      <c r="AW66" s="249"/>
    </row>
    <row r="67" spans="2:49">
      <c r="C67" s="1"/>
      <c r="M67" s="1"/>
      <c r="AF67" s="242"/>
      <c r="AN67" s="249"/>
      <c r="AO67" s="249"/>
      <c r="AR67" s="249"/>
      <c r="AS67" s="249"/>
      <c r="AT67" s="249"/>
      <c r="AU67" s="249"/>
      <c r="AV67" s="249"/>
      <c r="AW67" s="249"/>
    </row>
    <row r="68" spans="2:49" ht="19.5">
      <c r="C68" s="312" t="s">
        <v>780</v>
      </c>
      <c r="D68" s="83"/>
      <c r="E68" s="83"/>
      <c r="F68" s="83"/>
      <c r="G68" s="83"/>
      <c r="H68" s="83"/>
      <c r="I68" s="315"/>
      <c r="M68" s="312" t="s">
        <v>781</v>
      </c>
      <c r="N68" s="83"/>
      <c r="O68" s="83"/>
      <c r="P68" s="83"/>
      <c r="Q68" s="83"/>
      <c r="R68" s="83"/>
      <c r="S68" s="315"/>
      <c r="AW68" s="249"/>
    </row>
    <row r="69" spans="2:49" ht="16.5">
      <c r="C69" s="570" t="s">
        <v>774</v>
      </c>
      <c r="D69" s="83"/>
      <c r="E69" s="83"/>
      <c r="F69" s="83"/>
      <c r="G69" s="483"/>
      <c r="H69" s="485"/>
      <c r="I69" s="306"/>
      <c r="M69" s="570" t="s">
        <v>782</v>
      </c>
      <c r="N69" s="83"/>
      <c r="O69" s="83"/>
      <c r="P69" s="83"/>
      <c r="Q69" s="483"/>
      <c r="R69" s="485"/>
      <c r="S69" s="306"/>
      <c r="AW69" s="249"/>
    </row>
    <row r="70" spans="2:49">
      <c r="C70" s="295" t="s">
        <v>783</v>
      </c>
      <c r="D70" s="83"/>
      <c r="E70" s="83"/>
      <c r="F70" s="83"/>
      <c r="G70" s="484"/>
      <c r="H70" s="486"/>
      <c r="I70" s="306"/>
      <c r="M70" s="295" t="s">
        <v>783</v>
      </c>
      <c r="N70" s="83"/>
      <c r="O70" s="83"/>
      <c r="P70" s="83"/>
      <c r="Q70" s="484"/>
      <c r="R70" s="486"/>
      <c r="S70" s="306"/>
    </row>
    <row r="71" spans="2:49">
      <c r="C71" s="572" t="s">
        <v>784</v>
      </c>
      <c r="D71" s="83"/>
      <c r="E71" s="83"/>
      <c r="F71" s="83"/>
      <c r="G71" s="83"/>
      <c r="H71" s="83"/>
      <c r="M71" s="572" t="s">
        <v>785</v>
      </c>
      <c r="N71" s="83"/>
      <c r="O71" s="83"/>
      <c r="P71" s="83"/>
      <c r="Q71" s="83"/>
      <c r="R71" s="83"/>
    </row>
    <row r="72" spans="2:49">
      <c r="C72" s="83"/>
      <c r="D72" s="83"/>
      <c r="E72" s="83"/>
      <c r="F72" s="83"/>
      <c r="G72" s="83"/>
      <c r="H72" s="83"/>
      <c r="M72" s="83"/>
      <c r="N72" s="83"/>
      <c r="O72" s="83"/>
      <c r="P72" s="83"/>
      <c r="Q72" s="83"/>
      <c r="R72" s="83"/>
    </row>
    <row r="73" spans="2:49">
      <c r="C73" s="83"/>
      <c r="D73" s="83"/>
      <c r="E73" s="83"/>
      <c r="F73" s="83"/>
      <c r="G73" s="83"/>
      <c r="H73" s="83"/>
      <c r="M73" s="83"/>
      <c r="N73" s="83"/>
      <c r="O73" s="83"/>
      <c r="P73" s="83"/>
      <c r="Q73" s="83"/>
      <c r="R73" s="83"/>
    </row>
    <row r="74" spans="2:49">
      <c r="C74" s="83"/>
      <c r="D74" s="83"/>
      <c r="E74" s="83"/>
      <c r="F74" s="83"/>
      <c r="G74" s="83"/>
      <c r="H74" s="83"/>
      <c r="M74" s="83"/>
      <c r="N74" s="83"/>
      <c r="O74" s="83"/>
      <c r="P74" s="83"/>
      <c r="Q74" s="83"/>
      <c r="R74" s="83"/>
    </row>
    <row r="75" spans="2:49">
      <c r="C75" s="83"/>
      <c r="D75" s="83"/>
      <c r="E75" s="83"/>
      <c r="F75" s="83"/>
      <c r="G75" s="83"/>
      <c r="H75" s="83"/>
      <c r="M75" s="83"/>
      <c r="N75" s="83"/>
      <c r="O75" s="83"/>
      <c r="P75" s="83"/>
      <c r="Q75" s="83"/>
      <c r="R75" s="83"/>
    </row>
    <row r="76" spans="2:49">
      <c r="C76" s="83"/>
      <c r="D76" s="83"/>
      <c r="E76" s="83"/>
      <c r="F76" s="83"/>
      <c r="G76" s="83"/>
      <c r="H76" s="83"/>
      <c r="M76" s="83"/>
      <c r="N76" s="83"/>
      <c r="O76" s="83"/>
      <c r="P76" s="83"/>
      <c r="Q76" s="83"/>
      <c r="R76" s="83"/>
    </row>
    <row r="77" spans="2:49">
      <c r="C77" s="83"/>
      <c r="D77" s="83"/>
      <c r="E77" s="83"/>
      <c r="F77" s="83"/>
      <c r="G77" s="83"/>
      <c r="H77" s="83"/>
      <c r="M77" s="83"/>
      <c r="N77" s="83"/>
      <c r="O77" s="83"/>
      <c r="P77" s="83"/>
      <c r="Q77" s="83"/>
      <c r="R77" s="83"/>
    </row>
    <row r="78" spans="2:49">
      <c r="C78" s="83"/>
      <c r="D78" s="83"/>
      <c r="E78" s="83"/>
      <c r="F78" s="83"/>
      <c r="G78" s="83"/>
      <c r="H78" s="83"/>
      <c r="I78" s="34"/>
      <c r="M78" s="83"/>
      <c r="N78" s="83"/>
      <c r="O78" s="83"/>
      <c r="P78" s="83"/>
      <c r="Q78" s="83"/>
      <c r="R78" s="83"/>
    </row>
    <row r="79" spans="2:49">
      <c r="C79" s="83"/>
      <c r="D79" s="83"/>
      <c r="E79" s="83"/>
      <c r="F79" s="83"/>
      <c r="G79" s="83"/>
      <c r="H79" s="83"/>
      <c r="M79" s="83"/>
      <c r="N79" s="83"/>
      <c r="O79" s="83"/>
      <c r="P79" s="83"/>
      <c r="Q79" s="83"/>
      <c r="R79" s="83"/>
    </row>
    <row r="80" spans="2:49">
      <c r="C80" s="83"/>
      <c r="D80" s="83"/>
      <c r="E80" s="83"/>
      <c r="F80" s="83"/>
      <c r="G80" s="83"/>
      <c r="H80" s="83"/>
      <c r="M80" s="83"/>
      <c r="N80" s="83"/>
      <c r="O80" s="83"/>
      <c r="P80" s="83"/>
      <c r="Q80" s="83"/>
      <c r="R80" s="83"/>
    </row>
    <row r="81" spans="2:20">
      <c r="C81" s="83"/>
      <c r="D81" s="83"/>
      <c r="E81" s="83"/>
      <c r="F81" s="83"/>
      <c r="G81" s="83"/>
      <c r="H81" s="83"/>
      <c r="M81" s="83"/>
      <c r="N81" s="83"/>
      <c r="O81" s="83"/>
      <c r="P81" s="83"/>
      <c r="Q81" s="83"/>
      <c r="R81" s="83"/>
    </row>
    <row r="82" spans="2:20">
      <c r="C82" s="83"/>
      <c r="D82" s="83"/>
      <c r="E82" s="83"/>
      <c r="F82" s="83"/>
      <c r="G82" s="83"/>
      <c r="H82" s="83"/>
      <c r="M82" s="83"/>
      <c r="N82" s="83"/>
      <c r="O82" s="83"/>
      <c r="P82" s="83"/>
      <c r="Q82" s="83"/>
      <c r="R82" s="83"/>
    </row>
    <row r="83" spans="2:20">
      <c r="C83" s="83"/>
      <c r="D83" s="83"/>
      <c r="E83" s="83"/>
      <c r="F83" s="83"/>
      <c r="G83" s="83"/>
      <c r="H83" s="83"/>
      <c r="M83" s="83"/>
      <c r="N83" s="83"/>
      <c r="O83" s="83"/>
      <c r="P83" s="83"/>
      <c r="Q83" s="83"/>
      <c r="R83" s="83"/>
    </row>
    <row r="84" spans="2:20">
      <c r="C84" s="83"/>
      <c r="D84" s="83"/>
      <c r="E84" s="83"/>
      <c r="F84" s="83"/>
      <c r="G84" s="83"/>
      <c r="H84" s="83"/>
      <c r="M84" s="83"/>
      <c r="N84" s="83"/>
      <c r="O84" s="83"/>
      <c r="P84" s="83"/>
      <c r="Q84" s="83"/>
      <c r="R84" s="83"/>
    </row>
    <row r="85" spans="2:20" ht="13.5">
      <c r="C85" s="296" t="s">
        <v>786</v>
      </c>
      <c r="D85" s="83"/>
      <c r="E85" s="83"/>
      <c r="F85" s="83"/>
      <c r="G85" s="83"/>
      <c r="H85" s="83"/>
      <c r="M85" s="296" t="s">
        <v>787</v>
      </c>
      <c r="N85" s="83"/>
      <c r="O85" s="83"/>
      <c r="P85" s="83"/>
      <c r="Q85" s="83"/>
      <c r="R85" s="83"/>
    </row>
    <row r="86" spans="2:20" ht="13.5">
      <c r="C86" s="296" t="s">
        <v>788</v>
      </c>
      <c r="D86" s="83"/>
      <c r="E86" s="83"/>
      <c r="F86" s="83"/>
      <c r="G86" s="83"/>
      <c r="H86" s="83"/>
      <c r="M86" s="296" t="s">
        <v>788</v>
      </c>
      <c r="N86" s="83"/>
      <c r="O86" s="83"/>
      <c r="P86" s="83"/>
      <c r="Q86" s="83"/>
      <c r="R86" s="83"/>
    </row>
    <row r="87" spans="2:20" ht="13.5">
      <c r="C87" s="296" t="str">
        <f>'X-Chart Basics'!F18</f>
        <v xml:space="preserve">Ireland, Wallace &amp; Associates </v>
      </c>
      <c r="D87" s="83"/>
      <c r="E87" s="83"/>
      <c r="F87" s="83"/>
      <c r="G87" s="83"/>
      <c r="H87" s="573">
        <v>43287</v>
      </c>
      <c r="M87" s="296" t="str">
        <f>C87</f>
        <v xml:space="preserve">Ireland, Wallace &amp; Associates </v>
      </c>
      <c r="N87" s="83"/>
      <c r="O87" s="83"/>
      <c r="P87" s="83"/>
      <c r="Q87" s="83"/>
      <c r="R87" s="573">
        <v>43287</v>
      </c>
    </row>
    <row r="88" spans="2:20">
      <c r="B88" s="1"/>
      <c r="L88" s="1"/>
    </row>
    <row r="89" spans="2:20">
      <c r="B89" s="1" t="s">
        <v>768</v>
      </c>
      <c r="L89" s="1" t="s">
        <v>778</v>
      </c>
    </row>
    <row r="90" spans="2:20" ht="15">
      <c r="B90" s="85"/>
      <c r="C90" s="85"/>
      <c r="D90" s="274">
        <v>2013</v>
      </c>
      <c r="E90" s="274">
        <f t="shared" ref="E90:I90" si="2">D90+1</f>
        <v>2014</v>
      </c>
      <c r="F90" s="274">
        <f t="shared" si="2"/>
        <v>2015</v>
      </c>
      <c r="G90" s="274">
        <f t="shared" si="2"/>
        <v>2016</v>
      </c>
      <c r="H90" s="274">
        <f t="shared" si="2"/>
        <v>2017</v>
      </c>
      <c r="I90" s="274">
        <f t="shared" si="2"/>
        <v>2018</v>
      </c>
      <c r="J90" s="482"/>
      <c r="K90" s="482"/>
      <c r="L90" s="85"/>
      <c r="M90" s="85"/>
      <c r="N90" s="274">
        <v>2013</v>
      </c>
      <c r="O90" s="274">
        <f t="shared" ref="O90" si="3">N90+1</f>
        <v>2014</v>
      </c>
      <c r="P90" s="274">
        <f t="shared" ref="P90" si="4">O90+1</f>
        <v>2015</v>
      </c>
      <c r="Q90" s="274">
        <f t="shared" ref="Q90" si="5">P90+1</f>
        <v>2016</v>
      </c>
      <c r="R90" s="274">
        <f t="shared" ref="R90" si="6">Q90+1</f>
        <v>2017</v>
      </c>
      <c r="S90" s="274">
        <f t="shared" ref="S90:T90" si="7">R90+1</f>
        <v>2018</v>
      </c>
      <c r="T90" s="274">
        <f t="shared" si="7"/>
        <v>2019</v>
      </c>
    </row>
    <row r="91" spans="2:20">
      <c r="B91" s="565" t="s">
        <v>789</v>
      </c>
      <c r="C91" s="491"/>
      <c r="D91" s="563">
        <v>0.188</v>
      </c>
      <c r="E91" s="563">
        <v>0.18</v>
      </c>
      <c r="F91" s="563">
        <v>5.7000000000000002E-2</v>
      </c>
      <c r="G91" s="563">
        <v>0.17199999999999999</v>
      </c>
      <c r="H91" s="563">
        <v>0.27</v>
      </c>
      <c r="I91" s="563">
        <v>0.20899999999999999</v>
      </c>
      <c r="J91" s="41"/>
      <c r="K91" s="41"/>
      <c r="L91" s="571" t="s">
        <v>790</v>
      </c>
      <c r="M91" s="562"/>
      <c r="N91" s="41">
        <v>0.188</v>
      </c>
      <c r="O91" s="41">
        <v>0.189</v>
      </c>
      <c r="P91" s="41">
        <v>0.188</v>
      </c>
      <c r="Q91" s="41">
        <v>0.20899999999999999</v>
      </c>
      <c r="R91" s="41">
        <v>0.2</v>
      </c>
      <c r="S91" s="41">
        <v>0.16800000000000001</v>
      </c>
      <c r="T91" s="41">
        <v>1.1679999999999999</v>
      </c>
    </row>
    <row r="92" spans="2:20">
      <c r="B92" s="567" t="s">
        <v>434</v>
      </c>
      <c r="C92" s="568"/>
      <c r="D92" s="563" t="e">
        <f>'18 Data for Charts'!O9</f>
        <v>#REF!</v>
      </c>
      <c r="E92" s="563" t="e">
        <f>'18 Data for Charts'!P9</f>
        <v>#REF!</v>
      </c>
      <c r="F92" s="563" t="e">
        <f>'18 Data for Charts'!Q9</f>
        <v>#REF!</v>
      </c>
      <c r="G92" s="563" t="e">
        <f>'18 Data for Charts'!R9</f>
        <v>#REF!</v>
      </c>
      <c r="H92" s="563" t="e">
        <f>'18 Data for Charts'!S9</f>
        <v>#REF!</v>
      </c>
      <c r="I92" s="563" t="e">
        <f>'18 Data for Charts'!T9</f>
        <v>#REF!</v>
      </c>
      <c r="J92" s="41"/>
      <c r="K92" s="41"/>
      <c r="L92" s="568" t="s">
        <v>434</v>
      </c>
      <c r="M92" s="568"/>
      <c r="N92" s="41" t="e">
        <f t="shared" ref="N92:T92" si="8">D92</f>
        <v>#REF!</v>
      </c>
      <c r="O92" s="41" t="e">
        <f t="shared" si="8"/>
        <v>#REF!</v>
      </c>
      <c r="P92" s="41" t="e">
        <f t="shared" si="8"/>
        <v>#REF!</v>
      </c>
      <c r="Q92" s="41" t="e">
        <f t="shared" si="8"/>
        <v>#REF!</v>
      </c>
      <c r="R92" s="41" t="e">
        <f t="shared" si="8"/>
        <v>#REF!</v>
      </c>
      <c r="S92" s="41" t="e">
        <f t="shared" si="8"/>
        <v>#REF!</v>
      </c>
      <c r="T92" s="41">
        <f t="shared" si="8"/>
        <v>0</v>
      </c>
    </row>
    <row r="93" spans="2:20">
      <c r="B93" s="566" t="s">
        <v>791</v>
      </c>
      <c r="C93" s="562"/>
      <c r="D93" s="563" t="e">
        <f>'18 Data for Charts'!O8</f>
        <v>#REF!</v>
      </c>
      <c r="E93" s="563">
        <v>0.189</v>
      </c>
      <c r="F93" s="563">
        <v>0.188</v>
      </c>
      <c r="G93" s="563">
        <v>0.20899999999999999</v>
      </c>
      <c r="H93" s="563">
        <v>0.2</v>
      </c>
      <c r="I93" s="563">
        <v>0.16800000000000001</v>
      </c>
      <c r="J93" s="41"/>
      <c r="K93" s="41"/>
      <c r="L93" s="564" t="s">
        <v>792</v>
      </c>
      <c r="M93" s="564"/>
      <c r="N93" s="41" t="e">
        <f>D93</f>
        <v>#REF!</v>
      </c>
      <c r="O93" s="41">
        <v>0.18</v>
      </c>
      <c r="P93" s="41">
        <v>5.7000000000000002E-2</v>
      </c>
      <c r="Q93" s="41">
        <v>0.17199999999999999</v>
      </c>
      <c r="R93" s="41">
        <v>0.27</v>
      </c>
      <c r="S93" s="41">
        <v>0.20899999999999999</v>
      </c>
      <c r="T93" s="41">
        <v>1.2090000000000001</v>
      </c>
    </row>
    <row r="94" spans="2:20" hidden="1">
      <c r="B94" s="85" t="s">
        <v>556</v>
      </c>
      <c r="C94" s="85"/>
      <c r="D94" s="87">
        <f>'18 Data for Charts'!O11</f>
        <v>0</v>
      </c>
      <c r="E94" s="87">
        <f>'18 Data for Charts'!P11</f>
        <v>0</v>
      </c>
      <c r="F94" s="488">
        <f>'18 Data for Charts'!Q11</f>
        <v>0</v>
      </c>
      <c r="G94" s="87">
        <f>'18 Data for Charts'!R11</f>
        <v>0</v>
      </c>
      <c r="H94" s="87">
        <f>'18 Data for Charts'!S11</f>
        <v>0</v>
      </c>
      <c r="I94" s="87">
        <f>'18 Data for Charts'!T11</f>
        <v>0</v>
      </c>
    </row>
    <row r="95" spans="2:20" hidden="1">
      <c r="B95" s="85" t="s">
        <v>556</v>
      </c>
      <c r="C95" s="85"/>
      <c r="D95" s="87" t="e">
        <f>'18 Data for Charts'!O12</f>
        <v>#REF!</v>
      </c>
      <c r="E95" s="87" t="e">
        <f>'18 Data for Charts'!P12</f>
        <v>#REF!</v>
      </c>
      <c r="F95" s="488" t="e">
        <f>'18 Data for Charts'!Q12</f>
        <v>#REF!</v>
      </c>
      <c r="G95" s="87" t="e">
        <f>'18 Data for Charts'!R12</f>
        <v>#REF!</v>
      </c>
      <c r="H95" s="87" t="e">
        <f>'18 Data for Charts'!S12</f>
        <v>#REF!</v>
      </c>
      <c r="I95" s="87" t="e">
        <f>'18 Data for Charts'!T12</f>
        <v>#REF!</v>
      </c>
    </row>
    <row r="96" spans="2:20" hidden="1">
      <c r="B96" s="85" t="s">
        <v>556</v>
      </c>
      <c r="C96" s="85"/>
      <c r="D96" s="87" t="e">
        <f>'18 Data for Charts'!O13</f>
        <v>#REF!</v>
      </c>
      <c r="E96" s="87" t="e">
        <f>'18 Data for Charts'!P13</f>
        <v>#REF!</v>
      </c>
      <c r="F96" s="488" t="e">
        <f>'18 Data for Charts'!Q13</f>
        <v>#REF!</v>
      </c>
      <c r="G96" s="87" t="e">
        <f>'18 Data for Charts'!R13</f>
        <v>#REF!</v>
      </c>
      <c r="H96" s="87" t="e">
        <f>'18 Data for Charts'!S13</f>
        <v>#REF!</v>
      </c>
      <c r="I96" s="87" t="e">
        <f>'18 Data for Charts'!T13</f>
        <v>#REF!</v>
      </c>
    </row>
    <row r="97" spans="2:9" hidden="1">
      <c r="B97" s="85" t="s">
        <v>556</v>
      </c>
      <c r="C97" s="85"/>
      <c r="D97" s="87">
        <f>'18 Data for Charts'!O14</f>
        <v>0</v>
      </c>
      <c r="E97" s="87">
        <f>'18 Data for Charts'!P14</f>
        <v>0</v>
      </c>
      <c r="F97" s="488">
        <f>'18 Data for Charts'!Q14</f>
        <v>0</v>
      </c>
      <c r="G97" s="87">
        <f>'18 Data for Charts'!R14</f>
        <v>0</v>
      </c>
      <c r="H97" s="87">
        <f>'18 Data for Charts'!S14</f>
        <v>0</v>
      </c>
      <c r="I97" s="87">
        <f>'18 Data for Charts'!T14</f>
        <v>0</v>
      </c>
    </row>
    <row r="98" spans="2:9" hidden="1">
      <c r="B98" s="85" t="s">
        <v>556</v>
      </c>
      <c r="C98" s="85"/>
      <c r="D98" s="87" t="e">
        <f>'18 Data for Charts'!O15</f>
        <v>#REF!</v>
      </c>
      <c r="E98" s="87" t="e">
        <f>'18 Data for Charts'!P15</f>
        <v>#REF!</v>
      </c>
      <c r="F98" s="488" t="e">
        <f>'18 Data for Charts'!Q15</f>
        <v>#REF!</v>
      </c>
      <c r="G98" s="87" t="e">
        <f>'18 Data for Charts'!R15</f>
        <v>#REF!</v>
      </c>
      <c r="H98" s="87" t="e">
        <f>'18 Data for Charts'!S15</f>
        <v>#REF!</v>
      </c>
      <c r="I98" s="87">
        <f>'18 Data for Charts'!T15</f>
        <v>0</v>
      </c>
    </row>
    <row r="99" spans="2:9" hidden="1">
      <c r="B99" s="85" t="s">
        <v>556</v>
      </c>
      <c r="C99" s="85"/>
      <c r="D99" s="87">
        <f>'18 Data for Charts'!O16</f>
        <v>0</v>
      </c>
      <c r="E99" s="87">
        <f>'18 Data for Charts'!P16</f>
        <v>0</v>
      </c>
      <c r="F99" s="488">
        <f>'18 Data for Charts'!Q16</f>
        <v>0</v>
      </c>
      <c r="G99" s="87">
        <f>'18 Data for Charts'!R16</f>
        <v>0</v>
      </c>
      <c r="H99" s="87">
        <f>'18 Data for Charts'!S16</f>
        <v>0</v>
      </c>
      <c r="I99" s="87">
        <f>'18 Data for Charts'!T16</f>
        <v>0</v>
      </c>
    </row>
    <row r="100" spans="2:9" hidden="1">
      <c r="B100" s="85" t="s">
        <v>556</v>
      </c>
      <c r="C100" s="85"/>
      <c r="D100" s="87">
        <f>'18 Data for Charts'!O17</f>
        <v>5511</v>
      </c>
      <c r="E100" s="87">
        <f>'18 Data for Charts'!P17</f>
        <v>6595</v>
      </c>
      <c r="F100" s="488">
        <f>'18 Data for Charts'!Q17</f>
        <v>16463</v>
      </c>
      <c r="G100" s="87">
        <f>'18 Data for Charts'!R17</f>
        <v>0</v>
      </c>
      <c r="H100" s="87">
        <f>'18 Data for Charts'!S17</f>
        <v>0</v>
      </c>
      <c r="I100" s="87">
        <f>'18 Data for Charts'!T17</f>
        <v>0</v>
      </c>
    </row>
    <row r="101" spans="2:9" hidden="1">
      <c r="B101" s="85" t="s">
        <v>556</v>
      </c>
      <c r="C101" s="85"/>
      <c r="D101" s="87" t="e">
        <f>'18 Data for Charts'!O18</f>
        <v>#REF!</v>
      </c>
      <c r="E101" s="87" t="e">
        <f>'18 Data for Charts'!P18</f>
        <v>#REF!</v>
      </c>
      <c r="F101" s="488" t="e">
        <f>'18 Data for Charts'!Q18</f>
        <v>#REF!</v>
      </c>
      <c r="G101" s="87" t="e">
        <f>'18 Data for Charts'!R18</f>
        <v>#REF!</v>
      </c>
      <c r="H101" s="87" t="e">
        <f>'18 Data for Charts'!S18</f>
        <v>#REF!</v>
      </c>
      <c r="I101" s="87" t="e">
        <f>'18 Data for Charts'!T18</f>
        <v>#REF!</v>
      </c>
    </row>
    <row r="102" spans="2:9" hidden="1">
      <c r="B102" s="85" t="s">
        <v>556</v>
      </c>
      <c r="C102" s="85"/>
      <c r="D102" s="87">
        <f>'18 Data for Charts'!O19</f>
        <v>0</v>
      </c>
      <c r="E102" s="87">
        <f>'18 Data for Charts'!P19</f>
        <v>0</v>
      </c>
      <c r="F102" s="488">
        <f>'18 Data for Charts'!Q19</f>
        <v>0</v>
      </c>
      <c r="G102" s="87">
        <f>'18 Data for Charts'!R19</f>
        <v>0</v>
      </c>
      <c r="H102" s="87">
        <f>'18 Data for Charts'!S19</f>
        <v>0</v>
      </c>
      <c r="I102" s="87">
        <f>'18 Data for Charts'!T19</f>
        <v>0</v>
      </c>
    </row>
    <row r="103" spans="2:9" hidden="1">
      <c r="B103" s="85" t="s">
        <v>556</v>
      </c>
      <c r="C103" s="85"/>
      <c r="D103" s="87" t="e">
        <f>'18 Data for Charts'!O20</f>
        <v>#REF!</v>
      </c>
      <c r="E103" s="87" t="e">
        <f>'18 Data for Charts'!P20</f>
        <v>#REF!</v>
      </c>
      <c r="F103" s="488" t="e">
        <f>'18 Data for Charts'!Q20</f>
        <v>#REF!</v>
      </c>
      <c r="G103" s="87" t="e">
        <f>'18 Data for Charts'!R20</f>
        <v>#REF!</v>
      </c>
      <c r="H103" s="87" t="e">
        <f>'18 Data for Charts'!S20</f>
        <v>#REF!</v>
      </c>
      <c r="I103" s="87" t="e">
        <f>'18 Data for Charts'!T20</f>
        <v>#REF!</v>
      </c>
    </row>
    <row r="104" spans="2:9" hidden="1">
      <c r="B104" s="85" t="s">
        <v>556</v>
      </c>
      <c r="C104" s="85"/>
      <c r="D104" s="87" t="e">
        <f>'18 Data for Charts'!O21</f>
        <v>#REF!</v>
      </c>
      <c r="E104" s="87" t="e">
        <f>'18 Data for Charts'!P21</f>
        <v>#REF!</v>
      </c>
      <c r="F104" s="488" t="e">
        <f>'18 Data for Charts'!Q21</f>
        <v>#REF!</v>
      </c>
      <c r="G104" s="87" t="e">
        <f>'18 Data for Charts'!R21</f>
        <v>#REF!</v>
      </c>
      <c r="H104" s="87" t="e">
        <f>'18 Data for Charts'!S21</f>
        <v>#REF!</v>
      </c>
      <c r="I104" s="87" t="e">
        <f>'18 Data for Charts'!T21</f>
        <v>#REF!</v>
      </c>
    </row>
    <row r="105" spans="2:9" hidden="1">
      <c r="B105" s="85" t="s">
        <v>556</v>
      </c>
      <c r="C105" s="85"/>
      <c r="D105" s="87" t="e">
        <f>'18 Data for Charts'!O22</f>
        <v>#REF!</v>
      </c>
      <c r="E105" s="87" t="e">
        <f>'18 Data for Charts'!P22</f>
        <v>#REF!</v>
      </c>
      <c r="F105" s="488" t="e">
        <f>'18 Data for Charts'!Q22</f>
        <v>#REF!</v>
      </c>
      <c r="G105" s="87" t="e">
        <f>'18 Data for Charts'!R22</f>
        <v>#REF!</v>
      </c>
      <c r="H105" s="87" t="e">
        <f>'18 Data for Charts'!S22</f>
        <v>#REF!</v>
      </c>
      <c r="I105" s="87" t="e">
        <f>'18 Data for Charts'!T22</f>
        <v>#REF!</v>
      </c>
    </row>
    <row r="106" spans="2:9" hidden="1">
      <c r="B106" s="85" t="s">
        <v>556</v>
      </c>
      <c r="C106" s="85"/>
      <c r="D106" s="87" t="e">
        <f>'18 Data for Charts'!O23</f>
        <v>#REF!</v>
      </c>
      <c r="E106" s="87" t="e">
        <f>'18 Data for Charts'!P23</f>
        <v>#REF!</v>
      </c>
      <c r="F106" s="488" t="e">
        <f>'18 Data for Charts'!Q23</f>
        <v>#REF!</v>
      </c>
      <c r="G106" s="87" t="e">
        <f>'18 Data for Charts'!R23</f>
        <v>#REF!</v>
      </c>
      <c r="H106" s="87" t="e">
        <f>'18 Data for Charts'!S23</f>
        <v>#REF!</v>
      </c>
      <c r="I106" s="87" t="e">
        <f>'18 Data for Charts'!T23</f>
        <v>#REF!</v>
      </c>
    </row>
    <row r="107" spans="2:9" hidden="1">
      <c r="B107" s="85" t="s">
        <v>556</v>
      </c>
      <c r="C107" s="85"/>
      <c r="D107" s="87" t="e">
        <f>'18 Data for Charts'!O24</f>
        <v>#REF!</v>
      </c>
      <c r="E107" s="87" t="e">
        <f>'18 Data for Charts'!P24</f>
        <v>#REF!</v>
      </c>
      <c r="F107" s="488" t="e">
        <f>'18 Data for Charts'!Q24</f>
        <v>#REF!</v>
      </c>
      <c r="G107" s="87" t="e">
        <f>'18 Data for Charts'!R24</f>
        <v>#REF!</v>
      </c>
      <c r="H107" s="87" t="e">
        <f>'18 Data for Charts'!S24</f>
        <v>#REF!</v>
      </c>
      <c r="I107" s="87" t="e">
        <f>'18 Data for Charts'!T24</f>
        <v>#REF!</v>
      </c>
    </row>
    <row r="108" spans="2:9" hidden="1">
      <c r="B108" s="85" t="s">
        <v>556</v>
      </c>
      <c r="C108" s="85"/>
      <c r="D108" s="87">
        <f>'18 Data for Charts'!O25</f>
        <v>0</v>
      </c>
      <c r="E108" s="87">
        <f>'18 Data for Charts'!P25</f>
        <v>0</v>
      </c>
      <c r="F108" s="488">
        <f>'18 Data for Charts'!Q25</f>
        <v>0</v>
      </c>
      <c r="G108" s="87">
        <f>'18 Data for Charts'!R25</f>
        <v>0</v>
      </c>
      <c r="H108" s="87">
        <f>'18 Data for Charts'!S25</f>
        <v>0</v>
      </c>
      <c r="I108" s="87">
        <f>'18 Data for Charts'!T25</f>
        <v>0</v>
      </c>
    </row>
    <row r="109" spans="2:9" hidden="1">
      <c r="B109" s="85" t="s">
        <v>556</v>
      </c>
      <c r="C109" s="85"/>
      <c r="D109" s="87">
        <f>'18 Data for Charts'!O26</f>
        <v>0</v>
      </c>
      <c r="E109" s="87" t="e">
        <f>'18 Data for Charts'!P26</f>
        <v>#REF!</v>
      </c>
      <c r="F109" s="488" t="e">
        <f>'18 Data for Charts'!Q26</f>
        <v>#REF!</v>
      </c>
      <c r="G109" s="87" t="e">
        <f>'18 Data for Charts'!R26</f>
        <v>#REF!</v>
      </c>
      <c r="H109" s="87" t="e">
        <f>'18 Data for Charts'!S26</f>
        <v>#REF!</v>
      </c>
      <c r="I109" s="87" t="e">
        <f>'18 Data for Charts'!T26</f>
        <v>#REF!</v>
      </c>
    </row>
    <row r="110" spans="2:9" hidden="1">
      <c r="B110" s="85" t="s">
        <v>556</v>
      </c>
      <c r="C110" s="85"/>
      <c r="D110" s="87" t="e">
        <f>'18 Data for Charts'!#REF!</f>
        <v>#REF!</v>
      </c>
      <c r="E110" s="87" t="e">
        <f>'18 Data for Charts'!#REF!</f>
        <v>#REF!</v>
      </c>
      <c r="F110" s="488" t="e">
        <f>'18 Data for Charts'!#REF!</f>
        <v>#REF!</v>
      </c>
      <c r="G110" s="87" t="e">
        <f>'18 Data for Charts'!#REF!</f>
        <v>#REF!</v>
      </c>
      <c r="H110" s="87" t="e">
        <f>'18 Data for Charts'!#REF!</f>
        <v>#REF!</v>
      </c>
      <c r="I110" s="87" t="e">
        <f>'18 Data for Charts'!#REF!</f>
        <v>#REF!</v>
      </c>
    </row>
    <row r="111" spans="2:9" hidden="1">
      <c r="B111" s="85" t="s">
        <v>556</v>
      </c>
      <c r="C111" s="85"/>
      <c r="D111" s="87">
        <f>'18 Data for Charts'!O27</f>
        <v>0</v>
      </c>
      <c r="E111" s="87">
        <f>'18 Data for Charts'!P27</f>
        <v>0</v>
      </c>
      <c r="F111" s="488">
        <f>'18 Data for Charts'!Q27</f>
        <v>0</v>
      </c>
      <c r="G111" s="87">
        <f>'18 Data for Charts'!R27</f>
        <v>0</v>
      </c>
      <c r="H111" s="87">
        <f>'18 Data for Charts'!S27</f>
        <v>0</v>
      </c>
      <c r="I111" s="87">
        <f>'18 Data for Charts'!T27</f>
        <v>0</v>
      </c>
    </row>
    <row r="112" spans="2:9" hidden="1">
      <c r="B112" s="85" t="s">
        <v>556</v>
      </c>
      <c r="C112" s="85"/>
      <c r="D112" s="87" t="e">
        <f>'18 Data for Charts'!O28</f>
        <v>#REF!</v>
      </c>
      <c r="E112" s="87" t="e">
        <f>'18 Data for Charts'!P28</f>
        <v>#REF!</v>
      </c>
      <c r="F112" s="488" t="e">
        <f>'18 Data for Charts'!Q28</f>
        <v>#REF!</v>
      </c>
      <c r="G112" s="87" t="e">
        <f>'18 Data for Charts'!R28</f>
        <v>#REF!</v>
      </c>
      <c r="H112" s="87" t="e">
        <f>'18 Data for Charts'!S28</f>
        <v>#REF!</v>
      </c>
      <c r="I112" s="87" t="e">
        <f>'18 Data for Charts'!T28</f>
        <v>#REF!</v>
      </c>
    </row>
    <row r="113" spans="2:14" hidden="1">
      <c r="B113" s="85" t="s">
        <v>556</v>
      </c>
      <c r="C113" s="85"/>
      <c r="D113" s="87" t="e">
        <f>'18 Data for Charts'!O29</f>
        <v>#REF!</v>
      </c>
      <c r="E113" s="87" t="e">
        <f>'18 Data for Charts'!P29</f>
        <v>#REF!</v>
      </c>
      <c r="F113" s="488" t="e">
        <f>'18 Data for Charts'!Q29</f>
        <v>#REF!</v>
      </c>
      <c r="G113" s="87" t="e">
        <f>'18 Data for Charts'!R29</f>
        <v>#REF!</v>
      </c>
      <c r="H113" s="87" t="e">
        <f>'18 Data for Charts'!S29</f>
        <v>#REF!</v>
      </c>
      <c r="I113" s="87" t="e">
        <f>'18 Data for Charts'!T29</f>
        <v>#REF!</v>
      </c>
    </row>
    <row r="114" spans="2:14" hidden="1">
      <c r="B114" s="85" t="s">
        <v>556</v>
      </c>
      <c r="C114" s="85"/>
      <c r="D114" s="87" t="e">
        <f>'18 Data for Charts'!O30</f>
        <v>#REF!</v>
      </c>
      <c r="E114" s="87" t="e">
        <f>'18 Data for Charts'!P30</f>
        <v>#REF!</v>
      </c>
      <c r="F114" s="488" t="e">
        <f>'18 Data for Charts'!Q30</f>
        <v>#REF!</v>
      </c>
      <c r="G114" s="87" t="e">
        <f>'18 Data for Charts'!R30</f>
        <v>#REF!</v>
      </c>
      <c r="H114" s="87" t="e">
        <f>'18 Data for Charts'!S30</f>
        <v>#REF!</v>
      </c>
      <c r="I114" s="87" t="e">
        <f>'18 Data for Charts'!T30</f>
        <v>#REF!</v>
      </c>
    </row>
    <row r="115" spans="2:14" hidden="1">
      <c r="B115" s="85" t="s">
        <v>556</v>
      </c>
      <c r="C115" s="85"/>
      <c r="D115" s="87">
        <f>'18 Data for Charts'!O31</f>
        <v>0</v>
      </c>
      <c r="E115" s="87">
        <f>'18 Data for Charts'!P31</f>
        <v>0</v>
      </c>
      <c r="F115" s="488">
        <f>'18 Data for Charts'!Q31</f>
        <v>0</v>
      </c>
      <c r="G115" s="87">
        <f>'18 Data for Charts'!R31</f>
        <v>0</v>
      </c>
      <c r="H115" s="87">
        <f>'18 Data for Charts'!S31</f>
        <v>0</v>
      </c>
      <c r="I115" s="87">
        <f>'18 Data for Charts'!T31</f>
        <v>0</v>
      </c>
    </row>
    <row r="116" spans="2:14" hidden="1">
      <c r="B116" s="85" t="s">
        <v>556</v>
      </c>
      <c r="C116" s="85"/>
      <c r="D116" s="87">
        <f>'18 Data for Charts'!O32</f>
        <v>0</v>
      </c>
      <c r="E116" s="87" t="e">
        <f>'18 Data for Charts'!P32</f>
        <v>#REF!</v>
      </c>
      <c r="F116" s="488" t="e">
        <f>'18 Data for Charts'!Q32</f>
        <v>#REF!</v>
      </c>
      <c r="G116" s="87" t="e">
        <f>'18 Data for Charts'!R32</f>
        <v>#REF!</v>
      </c>
      <c r="H116" s="87" t="e">
        <f>'18 Data for Charts'!S32</f>
        <v>#REF!</v>
      </c>
      <c r="I116" s="87" t="e">
        <f>'18 Data for Charts'!T32</f>
        <v>#REF!</v>
      </c>
    </row>
    <row r="117" spans="2:14" hidden="1">
      <c r="B117" s="85" t="s">
        <v>556</v>
      </c>
      <c r="C117" s="85"/>
      <c r="D117" s="87">
        <f>'18 Data for Charts'!O33</f>
        <v>0</v>
      </c>
      <c r="E117" s="87" t="e">
        <f>'18 Data for Charts'!P33</f>
        <v>#REF!</v>
      </c>
      <c r="F117" s="488" t="e">
        <f>'18 Data for Charts'!Q33</f>
        <v>#REF!</v>
      </c>
      <c r="G117" s="87" t="e">
        <f>'18 Data for Charts'!R33</f>
        <v>#REF!</v>
      </c>
      <c r="H117" s="87" t="e">
        <f>'18 Data for Charts'!S33</f>
        <v>#REF!</v>
      </c>
      <c r="I117" s="87" t="e">
        <f>'18 Data for Charts'!T33</f>
        <v>#REF!</v>
      </c>
    </row>
    <row r="118" spans="2:14" hidden="1">
      <c r="B118" s="85" t="s">
        <v>556</v>
      </c>
      <c r="C118" s="85"/>
      <c r="D118" s="87">
        <f>'18 Data for Charts'!O34</f>
        <v>0</v>
      </c>
      <c r="E118" s="87" t="e">
        <f>'18 Data for Charts'!P34</f>
        <v>#REF!</v>
      </c>
      <c r="F118" s="488" t="e">
        <f>'18 Data for Charts'!Q34</f>
        <v>#REF!</v>
      </c>
      <c r="G118" s="87" t="e">
        <f>'18 Data for Charts'!R34</f>
        <v>#REF!</v>
      </c>
      <c r="H118" s="87" t="e">
        <f>'18 Data for Charts'!S34</f>
        <v>#REF!</v>
      </c>
      <c r="I118" s="87" t="e">
        <f>'18 Data for Charts'!T34</f>
        <v>#REF!</v>
      </c>
    </row>
    <row r="119" spans="2:14" hidden="1">
      <c r="B119" s="85" t="s">
        <v>556</v>
      </c>
      <c r="C119" s="85"/>
      <c r="D119" s="87">
        <f>'18 Data for Charts'!O35</f>
        <v>0</v>
      </c>
      <c r="E119" s="87" t="e">
        <f>'18 Data for Charts'!P35</f>
        <v>#REF!</v>
      </c>
      <c r="F119" s="488" t="e">
        <f>'18 Data for Charts'!Q35</f>
        <v>#REF!</v>
      </c>
      <c r="G119" s="87" t="e">
        <f>'18 Data for Charts'!R35</f>
        <v>#REF!</v>
      </c>
      <c r="H119" s="87" t="e">
        <f>'18 Data for Charts'!S35</f>
        <v>#REF!</v>
      </c>
      <c r="I119" s="87" t="e">
        <f>'18 Data for Charts'!T35</f>
        <v>#REF!</v>
      </c>
    </row>
    <row r="120" spans="2:14" hidden="1">
      <c r="B120" s="85" t="s">
        <v>556</v>
      </c>
      <c r="C120" s="85"/>
      <c r="D120" s="87">
        <f>'18 Data for Charts'!O36</f>
        <v>0</v>
      </c>
      <c r="E120" s="87">
        <f>'18 Data for Charts'!P36</f>
        <v>0</v>
      </c>
      <c r="F120" s="488">
        <f>'18 Data for Charts'!Q36</f>
        <v>0</v>
      </c>
      <c r="G120" s="87">
        <f>'18 Data for Charts'!R36</f>
        <v>0</v>
      </c>
      <c r="H120" s="87">
        <f>'18 Data for Charts'!S36</f>
        <v>0</v>
      </c>
      <c r="I120" s="87">
        <f>'18 Data for Charts'!T36</f>
        <v>0</v>
      </c>
    </row>
    <row r="121" spans="2:14" ht="15" hidden="1">
      <c r="B121" s="85" t="s">
        <v>556</v>
      </c>
      <c r="C121" s="85"/>
      <c r="D121" s="87" t="e">
        <f>'18 Data for Charts'!O37</f>
        <v>#REF!</v>
      </c>
      <c r="E121" s="87" t="e">
        <f>'18 Data for Charts'!P37</f>
        <v>#REF!</v>
      </c>
      <c r="F121" s="488" t="e">
        <f>'18 Data for Charts'!Q37</f>
        <v>#REF!</v>
      </c>
      <c r="G121" s="87" t="e">
        <f>'18 Data for Charts'!R37</f>
        <v>#REF!</v>
      </c>
      <c r="H121" s="87" t="e">
        <f>'18 Data for Charts'!S37</f>
        <v>#REF!</v>
      </c>
      <c r="I121" s="87" t="e">
        <f>'18 Data for Charts'!T37</f>
        <v>#REF!</v>
      </c>
      <c r="J121" s="274" t="e">
        <f t="shared" ref="J121:M121" si="9">I121+1</f>
        <v>#REF!</v>
      </c>
      <c r="K121" s="274" t="e">
        <f t="shared" si="9"/>
        <v>#REF!</v>
      </c>
      <c r="L121" s="274" t="e">
        <f t="shared" si="9"/>
        <v>#REF!</v>
      </c>
      <c r="M121" s="274" t="e">
        <f t="shared" si="9"/>
        <v>#REF!</v>
      </c>
    </row>
    <row r="122" spans="2:14" hidden="1">
      <c r="B122" s="85" t="s">
        <v>556</v>
      </c>
      <c r="C122" s="85"/>
      <c r="D122" s="87" t="e">
        <f>'18 Data for Charts'!O38</f>
        <v>#REF!</v>
      </c>
      <c r="E122" s="87" t="e">
        <f>'18 Data for Charts'!P38</f>
        <v>#REF!</v>
      </c>
      <c r="F122" s="488" t="e">
        <f>'18 Data for Charts'!Q38</f>
        <v>#REF!</v>
      </c>
      <c r="G122" s="87" t="e">
        <f>'18 Data for Charts'!R38</f>
        <v>#REF!</v>
      </c>
      <c r="H122" s="87" t="e">
        <f>'18 Data for Charts'!S38</f>
        <v>#REF!</v>
      </c>
      <c r="I122" s="87" t="e">
        <f>'18 Data for Charts'!T38</f>
        <v>#REF!</v>
      </c>
      <c r="J122" s="275" t="e">
        <f>'Econ-Perf 2'!T63</f>
        <v>#REF!</v>
      </c>
      <c r="K122" s="275" t="e">
        <f>'Econ-Perf 2'!#REF!</f>
        <v>#REF!</v>
      </c>
      <c r="L122" s="275" t="e">
        <f>'Econ-Perf 2'!#REF!</f>
        <v>#REF!</v>
      </c>
      <c r="M122" s="275" t="e">
        <f>'Econ-Perf 2'!#REF!</f>
        <v>#REF!</v>
      </c>
      <c r="N122" s="290" t="e">
        <f>AVERAGE(D122:L122)</f>
        <v>#REF!</v>
      </c>
    </row>
    <row r="123" spans="2:14" hidden="1">
      <c r="B123" s="85" t="s">
        <v>556</v>
      </c>
      <c r="C123" s="85"/>
      <c r="D123" s="87" t="e">
        <f>'18 Data for Charts'!O39</f>
        <v>#REF!</v>
      </c>
      <c r="E123" s="87" t="e">
        <f>'18 Data for Charts'!P39</f>
        <v>#REF!</v>
      </c>
      <c r="F123" s="488" t="e">
        <f>'18 Data for Charts'!Q39</f>
        <v>#REF!</v>
      </c>
      <c r="G123" s="87" t="e">
        <f>'18 Data for Charts'!R39</f>
        <v>#REF!</v>
      </c>
      <c r="H123" s="87" t="e">
        <f>'18 Data for Charts'!S39</f>
        <v>#REF!</v>
      </c>
      <c r="I123" s="87" t="e">
        <f>'18 Data for Charts'!T39</f>
        <v>#REF!</v>
      </c>
      <c r="J123" s="276" t="e">
        <f>'Econ-Perf 2'!T64</f>
        <v>#REF!</v>
      </c>
      <c r="K123" s="276" t="e">
        <f>'Econ-Perf 2'!#REF!</f>
        <v>#REF!</v>
      </c>
      <c r="L123" s="276" t="e">
        <f>'Econ-Perf 2'!#REF!</f>
        <v>#REF!</v>
      </c>
      <c r="M123" s="276" t="e">
        <f>'Econ-Perf 2'!#REF!</f>
        <v>#REF!</v>
      </c>
      <c r="N123" s="291" t="e">
        <f>AVERAGE(D123:L123)</f>
        <v>#REF!</v>
      </c>
    </row>
    <row r="124" spans="2:14" hidden="1">
      <c r="B124" s="85" t="s">
        <v>556</v>
      </c>
      <c r="C124" s="85"/>
      <c r="D124" s="87">
        <f>'18 Data for Charts'!O40</f>
        <v>0</v>
      </c>
      <c r="E124" s="87">
        <f>'18 Data for Charts'!P40</f>
        <v>0</v>
      </c>
      <c r="F124" s="488">
        <f>'18 Data for Charts'!Q40</f>
        <v>0</v>
      </c>
      <c r="G124" s="87">
        <f>'18 Data for Charts'!R40</f>
        <v>0</v>
      </c>
      <c r="H124" s="87">
        <f>'18 Data for Charts'!S40</f>
        <v>0</v>
      </c>
      <c r="I124" s="87">
        <f>'18 Data for Charts'!T40</f>
        <v>0</v>
      </c>
      <c r="J124" s="275" t="e">
        <f>'Econ-Perf 2'!T65</f>
        <v>#REF!</v>
      </c>
      <c r="K124" s="275" t="e">
        <f>'Econ-Perf 2'!#REF!</f>
        <v>#REF!</v>
      </c>
      <c r="L124" s="275" t="e">
        <f>'Econ-Perf 2'!#REF!</f>
        <v>#REF!</v>
      </c>
      <c r="M124" s="275" t="e">
        <f>'Econ-Perf 2'!#REF!</f>
        <v>#REF!</v>
      </c>
      <c r="N124" s="291" t="e">
        <f>AVERAGE(D124:L124)</f>
        <v>#REF!</v>
      </c>
    </row>
    <row r="125" spans="2:14">
      <c r="D125" s="41"/>
      <c r="E125" s="41"/>
      <c r="F125" s="561"/>
      <c r="G125" s="41"/>
      <c r="H125" s="41"/>
      <c r="I125" s="41"/>
      <c r="J125" s="19"/>
      <c r="K125" s="19"/>
      <c r="L125" s="313"/>
      <c r="M125" s="19"/>
      <c r="N125" s="19"/>
    </row>
    <row r="126" spans="2:14">
      <c r="J126" s="19"/>
      <c r="K126" s="19"/>
      <c r="L126" s="313"/>
      <c r="M126" s="19"/>
      <c r="N126" s="19"/>
    </row>
    <row r="127" spans="2:14">
      <c r="B127" s="85" t="s">
        <v>793</v>
      </c>
      <c r="C127" s="85"/>
      <c r="D127" s="85"/>
      <c r="E127" s="85"/>
      <c r="F127" s="85"/>
      <c r="G127" s="85"/>
      <c r="H127" s="85"/>
    </row>
    <row r="128" spans="2:14" ht="15">
      <c r="C128" s="303"/>
    </row>
    <row r="129" spans="3:10" ht="19.5">
      <c r="C129" s="312" t="s">
        <v>794</v>
      </c>
      <c r="D129" s="83"/>
      <c r="E129" s="83"/>
      <c r="F129" s="83"/>
      <c r="G129" s="83"/>
      <c r="H129" s="83"/>
      <c r="J129" s="425"/>
    </row>
    <row r="130" spans="3:10" ht="16.5">
      <c r="C130" s="570" t="s">
        <v>774</v>
      </c>
      <c r="D130" s="83"/>
      <c r="E130" s="83"/>
      <c r="F130" s="83"/>
      <c r="G130" s="485"/>
      <c r="H130" s="485"/>
      <c r="J130" s="303"/>
    </row>
    <row r="131" spans="3:10" ht="14.25">
      <c r="C131" s="295" t="s">
        <v>783</v>
      </c>
      <c r="D131" s="83"/>
      <c r="E131" s="83"/>
      <c r="F131" s="83"/>
      <c r="G131" s="486"/>
      <c r="H131" s="486"/>
      <c r="J131" s="15"/>
    </row>
    <row r="132" spans="3:10" ht="15">
      <c r="C132" s="572" t="s">
        <v>795</v>
      </c>
      <c r="D132" s="83"/>
      <c r="E132" s="83"/>
      <c r="F132" s="83"/>
      <c r="G132" s="83"/>
      <c r="H132" s="83"/>
      <c r="J132" s="303"/>
    </row>
    <row r="133" spans="3:10" ht="13.5">
      <c r="C133" s="296" t="s">
        <v>796</v>
      </c>
      <c r="D133" s="83"/>
      <c r="E133" s="83"/>
      <c r="F133" s="83"/>
      <c r="G133" s="83"/>
      <c r="H133" s="83"/>
    </row>
    <row r="134" spans="3:10">
      <c r="C134" s="294"/>
      <c r="D134" s="294"/>
      <c r="E134" s="294"/>
      <c r="F134" s="83"/>
      <c r="G134" s="83"/>
      <c r="H134" s="83"/>
      <c r="J134" s="33"/>
    </row>
    <row r="135" spans="3:10">
      <c r="C135" s="294"/>
      <c r="D135" s="294"/>
      <c r="E135" s="294"/>
      <c r="F135" s="83"/>
      <c r="G135" s="83"/>
      <c r="J135" s="33"/>
    </row>
    <row r="136" spans="3:10">
      <c r="C136" s="294"/>
      <c r="D136" s="294"/>
      <c r="E136" s="294"/>
      <c r="F136" s="83"/>
      <c r="G136" s="83"/>
      <c r="J136" s="33"/>
    </row>
    <row r="137" spans="3:10">
      <c r="C137" s="294"/>
      <c r="D137" s="294"/>
      <c r="E137" s="294"/>
      <c r="F137" s="83"/>
      <c r="G137" s="83"/>
      <c r="J137" s="33"/>
    </row>
    <row r="138" spans="3:10">
      <c r="C138" s="294"/>
      <c r="D138" s="294"/>
      <c r="E138" s="294"/>
      <c r="F138" s="83"/>
      <c r="G138" s="83"/>
      <c r="J138" s="33"/>
    </row>
    <row r="139" spans="3:10">
      <c r="C139" s="294"/>
      <c r="D139" s="294"/>
      <c r="E139" s="294"/>
      <c r="F139" s="83"/>
      <c r="G139" s="83"/>
      <c r="J139" s="33"/>
    </row>
    <row r="140" spans="3:10">
      <c r="C140" s="294"/>
      <c r="D140" s="294"/>
      <c r="E140" s="294"/>
      <c r="F140" s="83"/>
      <c r="G140" s="83"/>
      <c r="J140" s="33"/>
    </row>
    <row r="141" spans="3:10">
      <c r="C141" s="294"/>
      <c r="D141" s="294"/>
      <c r="E141" s="294"/>
      <c r="F141" s="83"/>
      <c r="G141" s="83"/>
      <c r="J141" s="33"/>
    </row>
    <row r="142" spans="3:10">
      <c r="C142" s="294"/>
      <c r="D142" s="294"/>
      <c r="E142" s="294"/>
      <c r="F142" s="83"/>
      <c r="G142" s="83"/>
      <c r="J142" s="33"/>
    </row>
    <row r="143" spans="3:10">
      <c r="C143" s="294"/>
      <c r="D143" s="294"/>
      <c r="E143" s="294"/>
      <c r="F143" s="83"/>
      <c r="G143" s="83"/>
      <c r="J143" s="33"/>
    </row>
    <row r="144" spans="3:10">
      <c r="C144" s="294"/>
      <c r="D144" s="294"/>
      <c r="E144" s="294"/>
      <c r="F144" s="83"/>
      <c r="G144" s="83"/>
      <c r="H144" s="117"/>
      <c r="J144" s="33"/>
    </row>
    <row r="145" spans="2:15">
      <c r="C145" s="294"/>
      <c r="D145" s="294"/>
      <c r="E145" s="294"/>
      <c r="F145" s="83"/>
      <c r="G145" s="83"/>
      <c r="H145" s="117"/>
      <c r="J145" s="33"/>
    </row>
    <row r="146" spans="2:15">
      <c r="C146" s="294"/>
      <c r="D146" s="294"/>
      <c r="E146" s="294"/>
      <c r="F146" s="83"/>
      <c r="G146" s="83"/>
      <c r="H146" s="83"/>
      <c r="J146" s="33"/>
    </row>
    <row r="147" spans="2:15" ht="13.5">
      <c r="C147" s="296" t="s">
        <v>797</v>
      </c>
      <c r="D147" s="294"/>
      <c r="E147" s="294"/>
      <c r="F147" s="83"/>
      <c r="G147" s="83"/>
      <c r="H147" s="83"/>
      <c r="J147" s="33"/>
    </row>
    <row r="148" spans="2:15" ht="13.5">
      <c r="C148" s="296" t="s">
        <v>788</v>
      </c>
      <c r="D148" s="294"/>
      <c r="E148" s="294"/>
      <c r="F148" s="83"/>
      <c r="G148" s="83"/>
      <c r="H148" s="83"/>
      <c r="J148" s="33"/>
    </row>
    <row r="149" spans="2:15" ht="13.5">
      <c r="C149" s="320" t="str">
        <f>'X-Chart Basics'!F18</f>
        <v xml:space="preserve">Ireland, Wallace &amp; Associates </v>
      </c>
      <c r="D149" s="294"/>
      <c r="E149" s="294"/>
      <c r="F149" s="83"/>
      <c r="G149" s="83"/>
      <c r="H149" s="573">
        <v>43287</v>
      </c>
      <c r="J149" s="33"/>
    </row>
    <row r="150" spans="2:15" ht="13.5">
      <c r="B150" s="368"/>
      <c r="C150" s="20"/>
      <c r="D150" s="20"/>
      <c r="G150" s="391"/>
      <c r="J150" s="33"/>
    </row>
    <row r="151" spans="2:15">
      <c r="B151" s="1" t="s">
        <v>798</v>
      </c>
      <c r="L151" s="33"/>
    </row>
    <row r="152" spans="2:15" ht="15">
      <c r="B152" s="84" t="s">
        <v>534</v>
      </c>
      <c r="C152" s="86"/>
      <c r="D152" s="274">
        <v>2013</v>
      </c>
      <c r="E152" s="274">
        <f t="shared" ref="E152:I152" si="10">D152+1</f>
        <v>2014</v>
      </c>
      <c r="F152" s="274">
        <f t="shared" si="10"/>
        <v>2015</v>
      </c>
      <c r="G152" s="274">
        <f t="shared" si="10"/>
        <v>2016</v>
      </c>
      <c r="H152" s="274">
        <f t="shared" si="10"/>
        <v>2017</v>
      </c>
      <c r="I152" s="274">
        <f t="shared" si="10"/>
        <v>2018</v>
      </c>
      <c r="J152" s="482"/>
      <c r="K152" s="482"/>
      <c r="L152" s="482"/>
      <c r="M152" s="482"/>
    </row>
    <row r="153" spans="2:15">
      <c r="B153" s="569" t="s">
        <v>799</v>
      </c>
      <c r="C153" s="569"/>
      <c r="D153" s="33" t="e">
        <f>#REF!</f>
        <v>#REF!</v>
      </c>
      <c r="E153" s="33" t="e">
        <f>#REF!</f>
        <v>#REF!</v>
      </c>
      <c r="F153" s="33" t="e">
        <f>#REF!</f>
        <v>#REF!</v>
      </c>
      <c r="G153" s="33" t="e">
        <f>#REF!</f>
        <v>#REF!</v>
      </c>
      <c r="H153" s="33" t="e">
        <f>#REF!</f>
        <v>#REF!</v>
      </c>
      <c r="I153" s="33" t="e">
        <f>#REF!</f>
        <v>#REF!</v>
      </c>
      <c r="J153" s="19"/>
      <c r="K153" s="19"/>
      <c r="L153" s="19"/>
      <c r="M153" s="196"/>
      <c r="N153" s="41"/>
    </row>
    <row r="154" spans="2:15" ht="13.5">
      <c r="C154" s="305"/>
      <c r="D154" s="9"/>
      <c r="E154" s="9"/>
      <c r="F154" s="9"/>
      <c r="G154" s="9"/>
      <c r="H154" s="9"/>
      <c r="I154" s="9"/>
      <c r="J154" s="19"/>
      <c r="K154" s="19"/>
      <c r="L154" s="19"/>
      <c r="M154" s="41"/>
      <c r="N154" s="41"/>
    </row>
    <row r="155" spans="2:15">
      <c r="B155" s="4"/>
      <c r="C155" s="4"/>
      <c r="D155" s="9"/>
      <c r="E155" s="9"/>
      <c r="F155" s="9"/>
      <c r="G155" s="9"/>
      <c r="H155" s="9"/>
      <c r="I155" s="9"/>
      <c r="J155" s="4"/>
      <c r="K155" s="4"/>
      <c r="L155" s="4"/>
      <c r="M155" s="4"/>
    </row>
    <row r="156" spans="2:15">
      <c r="B156" s="40" t="s">
        <v>800</v>
      </c>
      <c r="C156" s="28"/>
      <c r="D156" s="28"/>
      <c r="E156" s="28"/>
      <c r="F156" s="28"/>
      <c r="G156" s="28"/>
    </row>
    <row r="157" spans="2:15" ht="15">
      <c r="B157" s="303"/>
    </row>
    <row r="158" spans="2:15" ht="19.5">
      <c r="B158" s="312" t="str">
        <f>O158</f>
        <v>Sales Growth</v>
      </c>
      <c r="C158" s="83"/>
      <c r="D158" s="83"/>
      <c r="E158" s="83"/>
      <c r="F158" s="83"/>
      <c r="G158" s="83"/>
      <c r="H158" s="321" t="str">
        <f>O158</f>
        <v>Sales Growth</v>
      </c>
      <c r="I158" s="83"/>
      <c r="J158" s="83"/>
      <c r="K158" s="83"/>
      <c r="L158" s="83"/>
      <c r="M158" s="83"/>
      <c r="O158" s="425" t="s">
        <v>801</v>
      </c>
    </row>
    <row r="159" spans="2:15" ht="16.5">
      <c r="B159" s="487" t="s">
        <v>774</v>
      </c>
      <c r="C159" s="83"/>
      <c r="D159" s="83"/>
      <c r="E159" s="83"/>
      <c r="F159" s="83"/>
      <c r="G159" s="83"/>
      <c r="H159" s="298" t="str">
        <f>'X-Chart Basics'!C9</f>
        <v>Briscoe</v>
      </c>
      <c r="I159" s="83"/>
      <c r="J159" s="83"/>
      <c r="K159" s="83"/>
      <c r="L159" s="83"/>
      <c r="M159" s="83"/>
      <c r="O159" s="304"/>
    </row>
    <row r="160" spans="2:15" ht="16.5">
      <c r="B160" s="83"/>
      <c r="C160" s="83"/>
      <c r="D160" s="83"/>
      <c r="E160" s="83"/>
      <c r="F160" s="83"/>
      <c r="G160" s="83"/>
      <c r="H160" s="83"/>
      <c r="I160" s="83"/>
      <c r="J160" s="83"/>
      <c r="K160" s="83"/>
      <c r="L160" s="83"/>
      <c r="M160" s="83"/>
      <c r="O160" s="304"/>
    </row>
    <row r="161" spans="2:15" ht="13.5">
      <c r="B161" s="296" t="s">
        <v>796</v>
      </c>
      <c r="C161" s="83"/>
      <c r="D161" s="83"/>
      <c r="E161" s="83"/>
      <c r="F161" s="83"/>
      <c r="G161" s="83"/>
      <c r="H161" s="296" t="s">
        <v>796</v>
      </c>
      <c r="I161" s="83"/>
      <c r="J161" s="83"/>
      <c r="K161" s="83"/>
      <c r="L161" s="83"/>
      <c r="M161" s="83"/>
      <c r="O161" s="306" t="s">
        <v>802</v>
      </c>
    </row>
    <row r="162" spans="2:15">
      <c r="B162" s="83"/>
      <c r="C162" s="83"/>
      <c r="D162" s="83"/>
      <c r="E162" s="83"/>
      <c r="F162" s="83"/>
      <c r="G162" s="83"/>
      <c r="H162" s="83"/>
      <c r="I162" s="83"/>
      <c r="J162" s="83"/>
      <c r="K162" s="83"/>
      <c r="L162" s="83"/>
      <c r="M162" s="83"/>
      <c r="O162" s="306" t="s">
        <v>803</v>
      </c>
    </row>
    <row r="163" spans="2:15">
      <c r="B163" s="83"/>
      <c r="C163" s="83"/>
      <c r="D163" s="83"/>
      <c r="E163" s="83"/>
      <c r="F163" s="83"/>
      <c r="G163" s="83"/>
      <c r="H163" s="83"/>
      <c r="I163" s="83"/>
      <c r="J163" s="83"/>
      <c r="K163" s="83"/>
      <c r="L163" s="83"/>
      <c r="M163" s="83"/>
      <c r="O163" s="306" t="s">
        <v>804</v>
      </c>
    </row>
    <row r="164" spans="2:15">
      <c r="B164" s="83"/>
      <c r="C164" s="83"/>
      <c r="D164" s="83"/>
      <c r="E164" s="83"/>
      <c r="F164" s="83"/>
      <c r="G164" s="83"/>
      <c r="H164" s="83"/>
      <c r="I164" s="83"/>
      <c r="J164" s="83"/>
      <c r="K164" s="83"/>
    </row>
    <row r="165" spans="2:15">
      <c r="B165" s="83"/>
      <c r="C165" s="83"/>
      <c r="D165" s="83"/>
      <c r="E165" s="83"/>
      <c r="F165" s="83"/>
      <c r="G165" s="83"/>
      <c r="H165" s="83"/>
      <c r="I165" s="83"/>
      <c r="J165" s="83"/>
      <c r="K165" s="83"/>
    </row>
    <row r="166" spans="2:15">
      <c r="B166" s="83"/>
      <c r="C166" s="83"/>
      <c r="D166" s="83"/>
      <c r="E166" s="83"/>
      <c r="F166" s="83"/>
      <c r="G166" s="83"/>
      <c r="H166" s="83"/>
      <c r="I166" s="83"/>
      <c r="J166" s="83"/>
      <c r="K166" s="83"/>
    </row>
    <row r="167" spans="2:15">
      <c r="B167" s="83"/>
      <c r="C167" s="83"/>
      <c r="D167" s="83"/>
      <c r="E167" s="83"/>
      <c r="F167" s="83"/>
      <c r="G167" s="83"/>
      <c r="H167" s="83"/>
      <c r="I167" s="83"/>
      <c r="J167" s="83"/>
      <c r="K167" s="83"/>
    </row>
    <row r="168" spans="2:15">
      <c r="B168" s="83"/>
      <c r="C168" s="83"/>
      <c r="D168" s="83"/>
      <c r="E168" s="83"/>
      <c r="F168" s="83"/>
      <c r="G168" s="83"/>
      <c r="H168" s="83"/>
      <c r="I168" s="83"/>
      <c r="J168" s="83"/>
      <c r="K168" s="83"/>
    </row>
    <row r="169" spans="2:15">
      <c r="B169" s="83"/>
      <c r="C169" s="83"/>
      <c r="D169" s="83"/>
      <c r="E169" s="83"/>
      <c r="F169" s="83"/>
      <c r="G169" s="83"/>
      <c r="H169" s="83"/>
      <c r="I169" s="83"/>
      <c r="J169" s="83"/>
      <c r="K169" s="83"/>
    </row>
    <row r="170" spans="2:15">
      <c r="B170" s="83"/>
      <c r="C170" s="83"/>
      <c r="D170" s="83"/>
      <c r="E170" s="83"/>
      <c r="F170" s="83"/>
      <c r="G170" s="83"/>
      <c r="H170" s="83"/>
      <c r="I170" s="83"/>
      <c r="J170" s="83"/>
      <c r="K170" s="83"/>
    </row>
    <row r="171" spans="2:15">
      <c r="B171" s="83"/>
      <c r="C171" s="83"/>
      <c r="D171" s="83"/>
      <c r="E171" s="83"/>
      <c r="F171" s="83"/>
      <c r="G171" s="83"/>
      <c r="H171" s="83"/>
      <c r="I171" s="83"/>
      <c r="J171" s="83"/>
      <c r="K171" s="83"/>
    </row>
    <row r="172" spans="2:15">
      <c r="B172" s="83"/>
      <c r="C172" s="83"/>
      <c r="D172" s="83"/>
      <c r="E172" s="83"/>
      <c r="F172" s="83"/>
      <c r="G172" s="83"/>
      <c r="H172" s="83"/>
      <c r="I172" s="83"/>
      <c r="J172" s="83"/>
      <c r="K172" s="83"/>
    </row>
    <row r="173" spans="2:15">
      <c r="B173" s="83"/>
      <c r="C173" s="83"/>
      <c r="D173" s="83"/>
      <c r="E173" s="83"/>
      <c r="F173" s="83"/>
      <c r="G173" s="83"/>
      <c r="H173" s="83"/>
      <c r="I173" s="83"/>
      <c r="J173" s="83"/>
      <c r="K173" s="83"/>
    </row>
    <row r="174" spans="2:15">
      <c r="B174" s="83"/>
      <c r="C174" s="83"/>
      <c r="D174" s="83"/>
      <c r="E174" s="83"/>
      <c r="F174" s="83"/>
      <c r="G174" s="83"/>
      <c r="H174" s="83"/>
      <c r="I174" s="83"/>
      <c r="J174" s="83"/>
      <c r="K174" s="83"/>
    </row>
    <row r="175" spans="2:15">
      <c r="B175" s="83"/>
      <c r="C175" s="83"/>
      <c r="D175" s="83"/>
      <c r="E175" s="83"/>
      <c r="F175" s="83"/>
      <c r="G175" s="83"/>
      <c r="H175" s="83"/>
      <c r="I175" s="83"/>
      <c r="J175" s="83"/>
      <c r="K175" s="83"/>
    </row>
    <row r="176" spans="2:15">
      <c r="B176" s="294"/>
      <c r="C176" s="294"/>
      <c r="D176" s="294"/>
      <c r="E176" s="322"/>
      <c r="F176" s="83"/>
      <c r="G176" s="294"/>
      <c r="H176" s="294"/>
      <c r="I176" s="294"/>
      <c r="J176" s="322"/>
      <c r="K176" s="83"/>
      <c r="L176" s="83"/>
      <c r="M176" s="83"/>
    </row>
    <row r="177" spans="2:13">
      <c r="B177" s="319" t="str">
        <f>O162</f>
        <v>2013 affected by acquisitions</v>
      </c>
      <c r="C177" s="294"/>
      <c r="D177" s="294"/>
      <c r="E177" s="322"/>
      <c r="F177" s="369">
        <v>42790</v>
      </c>
      <c r="G177" s="319"/>
      <c r="H177" s="294"/>
      <c r="I177" s="294"/>
      <c r="J177" s="322"/>
      <c r="K177" s="83"/>
      <c r="L177" s="83"/>
      <c r="M177" s="83"/>
    </row>
    <row r="178" spans="2:13" ht="13.5">
      <c r="B178" s="320" t="str">
        <f>'X-Chart Basics'!D20</f>
        <v>Source: Annual Reports</v>
      </c>
      <c r="C178" s="294"/>
      <c r="D178" s="294"/>
      <c r="E178" s="322"/>
      <c r="F178" s="83"/>
      <c r="G178" s="320"/>
      <c r="H178" s="320" t="str">
        <f>'X-Chart Basics'!D20</f>
        <v>Source: Annual Reports</v>
      </c>
      <c r="I178" s="294"/>
      <c r="J178" s="322"/>
      <c r="K178" s="369">
        <v>42790</v>
      </c>
      <c r="L178" s="83"/>
      <c r="M178" s="83"/>
    </row>
    <row r="179" spans="2:13" ht="13.5">
      <c r="B179" s="320" t="str">
        <f>'X-Chart Basics'!F18</f>
        <v xml:space="preserve">Ireland, Wallace &amp; Associates </v>
      </c>
      <c r="C179" s="294"/>
      <c r="D179" s="294"/>
      <c r="E179" s="322"/>
      <c r="F179" s="83"/>
      <c r="G179" s="320"/>
      <c r="H179" s="320" t="str">
        <f>'X-Chart Basics'!F18</f>
        <v xml:space="preserve">Ireland, Wallace &amp; Associates </v>
      </c>
      <c r="I179" s="294"/>
      <c r="J179" s="322"/>
      <c r="K179" s="83"/>
      <c r="L179" s="83"/>
      <c r="M179" s="390">
        <f>'X-Chart Basics'!D24</f>
        <v>42790</v>
      </c>
    </row>
    <row r="180" spans="2:13" ht="13.5">
      <c r="B180" s="368"/>
      <c r="C180" s="20"/>
      <c r="D180" s="20"/>
      <c r="E180" s="122"/>
      <c r="G180" s="368"/>
      <c r="H180" s="368"/>
      <c r="I180" s="20"/>
      <c r="J180" s="122"/>
    </row>
    <row r="181" spans="2:13">
      <c r="B181" s="1" t="s">
        <v>805</v>
      </c>
      <c r="C181" s="43"/>
      <c r="D181" s="335"/>
      <c r="E181" s="335"/>
      <c r="F181" s="335"/>
      <c r="G181" s="335"/>
      <c r="H181" s="335"/>
      <c r="I181" s="335"/>
      <c r="J181" s="335"/>
      <c r="K181" s="335"/>
      <c r="L181" s="335"/>
      <c r="M181" s="34"/>
    </row>
    <row r="182" spans="2:13" ht="51" hidden="1" customHeight="1">
      <c r="B182" s="34"/>
      <c r="C182" s="336" t="s">
        <v>806</v>
      </c>
      <c r="D182" s="43"/>
      <c r="E182" s="43"/>
      <c r="F182" s="337"/>
      <c r="G182" s="337"/>
      <c r="H182" s="337"/>
      <c r="I182" s="337"/>
      <c r="J182" s="337"/>
      <c r="K182" s="337"/>
      <c r="L182" s="337"/>
      <c r="M182" s="34"/>
    </row>
    <row r="183" spans="2:13" ht="51" hidden="1" customHeight="1">
      <c r="B183" s="34"/>
      <c r="C183" s="34"/>
      <c r="D183" s="337"/>
      <c r="E183" s="337"/>
      <c r="F183" s="337"/>
      <c r="G183" s="337"/>
      <c r="H183" s="337"/>
      <c r="I183" s="337"/>
      <c r="J183" s="337"/>
      <c r="K183" s="337"/>
      <c r="L183" s="337"/>
      <c r="M183" s="34"/>
    </row>
    <row r="184" spans="2:13" ht="51" hidden="1" customHeight="1">
      <c r="B184" s="34"/>
      <c r="C184" s="34"/>
      <c r="D184" s="34"/>
      <c r="E184" s="34"/>
      <c r="F184" s="34"/>
      <c r="G184" s="34"/>
      <c r="H184" s="34"/>
      <c r="I184" s="34"/>
      <c r="J184" s="34"/>
      <c r="K184" s="34"/>
      <c r="L184" s="34"/>
      <c r="M184" s="34"/>
    </row>
    <row r="185" spans="2:13" ht="51" hidden="1" customHeight="1">
      <c r="B185" s="34"/>
      <c r="C185" s="34"/>
      <c r="D185" s="34"/>
      <c r="E185" s="34"/>
      <c r="F185" s="34"/>
      <c r="G185" s="34"/>
      <c r="H185" s="34"/>
      <c r="I185" s="34"/>
      <c r="J185" s="34"/>
      <c r="K185" s="34"/>
      <c r="L185" s="34"/>
      <c r="M185" s="34"/>
    </row>
    <row r="186" spans="2:13" ht="51" hidden="1" customHeight="1">
      <c r="B186" s="34"/>
      <c r="C186" s="34"/>
      <c r="D186" s="34"/>
      <c r="E186" s="34"/>
      <c r="F186" s="34"/>
      <c r="G186" s="34"/>
      <c r="H186" s="34"/>
      <c r="I186" s="34"/>
      <c r="J186" s="34"/>
      <c r="K186" s="34"/>
      <c r="L186" s="34"/>
      <c r="M186" s="34"/>
    </row>
    <row r="187" spans="2:13" ht="51" hidden="1" customHeight="1">
      <c r="B187" s="34"/>
      <c r="C187" s="34"/>
      <c r="D187" s="34"/>
      <c r="E187" s="34"/>
      <c r="F187" s="34"/>
      <c r="G187" s="34"/>
      <c r="H187" s="34"/>
      <c r="I187" s="34"/>
      <c r="J187" s="34"/>
      <c r="K187" s="34"/>
      <c r="L187" s="34"/>
      <c r="M187" s="34"/>
    </row>
    <row r="188" spans="2:13" ht="51" hidden="1" customHeight="1">
      <c r="B188" s="34"/>
      <c r="C188" s="34"/>
      <c r="D188" s="34"/>
      <c r="E188" s="34"/>
      <c r="F188" s="34"/>
      <c r="G188" s="34"/>
      <c r="H188" s="34"/>
      <c r="I188" s="34"/>
      <c r="J188" s="34"/>
      <c r="K188" s="34"/>
      <c r="L188" s="34"/>
      <c r="M188" s="34"/>
    </row>
    <row r="189" spans="2:13" ht="51" hidden="1" customHeight="1">
      <c r="B189" s="34"/>
      <c r="C189" s="34"/>
      <c r="D189" s="34"/>
      <c r="E189" s="34"/>
      <c r="F189" s="34"/>
      <c r="G189" s="34"/>
      <c r="H189" s="34"/>
      <c r="I189" s="34"/>
      <c r="J189" s="34"/>
      <c r="K189" s="34"/>
      <c r="L189" s="34"/>
      <c r="M189" s="34"/>
    </row>
    <row r="190" spans="2:13" ht="51" hidden="1" customHeight="1">
      <c r="B190" s="34"/>
      <c r="C190" s="34"/>
      <c r="D190" s="34"/>
      <c r="E190" s="34"/>
      <c r="F190" s="34"/>
      <c r="G190" s="34"/>
      <c r="H190" s="34"/>
      <c r="I190" s="34"/>
      <c r="J190" s="34"/>
      <c r="K190" s="34"/>
      <c r="L190" s="34"/>
      <c r="M190" s="34"/>
    </row>
    <row r="191" spans="2:13" ht="51" hidden="1" customHeight="1">
      <c r="B191" s="34"/>
      <c r="C191" s="34"/>
      <c r="D191" s="34"/>
      <c r="E191" s="34"/>
      <c r="F191" s="34"/>
      <c r="G191" s="34"/>
      <c r="H191" s="34"/>
      <c r="I191" s="34"/>
      <c r="J191" s="34"/>
      <c r="K191" s="34"/>
      <c r="L191" s="34"/>
      <c r="M191" s="34"/>
    </row>
    <row r="192" spans="2:13" ht="51" hidden="1" customHeight="1">
      <c r="B192" s="34"/>
      <c r="C192" s="34"/>
      <c r="D192" s="34"/>
      <c r="E192" s="34"/>
      <c r="F192" s="34"/>
      <c r="G192" s="34"/>
      <c r="H192" s="34"/>
      <c r="I192" s="34"/>
      <c r="J192" s="34"/>
      <c r="K192" s="34"/>
      <c r="L192" s="34"/>
      <c r="M192" s="34"/>
    </row>
    <row r="193" spans="2:13" ht="51" hidden="1" customHeight="1">
      <c r="B193" s="34"/>
      <c r="C193" s="34"/>
      <c r="D193" s="34"/>
      <c r="E193" s="34"/>
      <c r="F193" s="34"/>
      <c r="G193" s="34"/>
      <c r="H193" s="34"/>
      <c r="I193" s="34"/>
      <c r="J193" s="34"/>
      <c r="K193" s="34"/>
      <c r="L193" s="34"/>
      <c r="M193" s="34"/>
    </row>
    <row r="194" spans="2:13" ht="51" hidden="1" customHeight="1">
      <c r="B194" s="34"/>
      <c r="C194" s="34"/>
      <c r="D194" s="34"/>
      <c r="E194" s="34"/>
      <c r="F194" s="34"/>
      <c r="G194" s="34"/>
      <c r="H194" s="34"/>
      <c r="I194" s="34"/>
      <c r="J194" s="34"/>
      <c r="K194" s="34"/>
      <c r="L194" s="34"/>
      <c r="M194" s="34"/>
    </row>
    <row r="195" spans="2:13" ht="51" hidden="1" customHeight="1">
      <c r="B195" s="34"/>
      <c r="C195" s="34"/>
      <c r="D195" s="34"/>
      <c r="E195" s="34"/>
      <c r="F195" s="34"/>
      <c r="G195" s="34"/>
      <c r="H195" s="34"/>
      <c r="I195" s="34"/>
      <c r="J195" s="34"/>
      <c r="K195" s="34"/>
      <c r="L195" s="34"/>
      <c r="M195" s="34"/>
    </row>
    <row r="196" spans="2:13" ht="51" hidden="1" customHeight="1">
      <c r="B196" s="34"/>
      <c r="C196" s="34"/>
      <c r="D196" s="34"/>
      <c r="E196" s="34"/>
      <c r="F196" s="34"/>
      <c r="G196" s="34"/>
      <c r="H196" s="34"/>
      <c r="I196" s="34"/>
      <c r="J196" s="34"/>
      <c r="K196" s="34"/>
      <c r="L196" s="34"/>
      <c r="M196" s="34"/>
    </row>
    <row r="197" spans="2:13" ht="51" hidden="1" customHeight="1">
      <c r="B197" s="34"/>
      <c r="C197" s="34"/>
      <c r="D197" s="34"/>
      <c r="E197" s="34"/>
      <c r="F197" s="34"/>
      <c r="G197" s="34"/>
      <c r="H197" s="34"/>
      <c r="I197" s="34"/>
      <c r="J197" s="34"/>
      <c r="K197" s="34"/>
      <c r="L197" s="34"/>
      <c r="M197" s="34"/>
    </row>
    <row r="198" spans="2:13" ht="51" hidden="1" customHeight="1">
      <c r="B198" s="34"/>
      <c r="C198" s="34"/>
      <c r="D198" s="34"/>
      <c r="E198" s="34"/>
      <c r="F198" s="34"/>
      <c r="G198" s="34"/>
      <c r="H198" s="34"/>
      <c r="I198" s="34"/>
      <c r="J198" s="34"/>
      <c r="K198" s="34"/>
      <c r="L198" s="34"/>
      <c r="M198" s="34"/>
    </row>
    <row r="199" spans="2:13" ht="51" hidden="1" customHeight="1">
      <c r="B199" s="34"/>
      <c r="C199" s="34"/>
      <c r="D199" s="34"/>
      <c r="E199" s="34"/>
      <c r="F199" s="34"/>
      <c r="G199" s="34"/>
      <c r="H199" s="34"/>
      <c r="I199" s="34"/>
      <c r="J199" s="34"/>
      <c r="K199" s="34"/>
      <c r="L199" s="34"/>
      <c r="M199" s="34"/>
    </row>
    <row r="200" spans="2:13" ht="51" hidden="1" customHeight="1">
      <c r="B200" s="34"/>
      <c r="C200" s="34"/>
      <c r="D200" s="34"/>
      <c r="E200" s="34"/>
      <c r="F200" s="34"/>
      <c r="G200" s="34"/>
      <c r="H200" s="34"/>
      <c r="I200" s="34"/>
      <c r="J200" s="34"/>
      <c r="K200" s="34"/>
      <c r="L200" s="34"/>
      <c r="M200" s="34"/>
    </row>
    <row r="201" spans="2:13" ht="51" hidden="1" customHeight="1">
      <c r="B201" s="34"/>
      <c r="C201" s="338"/>
      <c r="D201" s="43"/>
      <c r="E201" s="43"/>
      <c r="F201" s="49"/>
      <c r="G201" s="49"/>
      <c r="H201" s="49"/>
      <c r="I201" s="49"/>
      <c r="J201" s="49"/>
      <c r="K201" s="49"/>
      <c r="L201" s="49"/>
      <c r="M201" s="34"/>
    </row>
    <row r="202" spans="2:13" ht="51" hidden="1" customHeight="1">
      <c r="B202" s="34"/>
      <c r="C202" s="34"/>
      <c r="D202" s="34"/>
      <c r="E202" s="34"/>
      <c r="F202" s="34"/>
      <c r="G202" s="34"/>
      <c r="H202" s="34"/>
      <c r="I202" s="34"/>
      <c r="J202" s="34"/>
      <c r="K202" s="34"/>
      <c r="L202" s="34"/>
      <c r="M202" s="34"/>
    </row>
    <row r="203" spans="2:13" ht="51" hidden="1" customHeight="1">
      <c r="B203" s="34"/>
      <c r="C203" s="34"/>
      <c r="D203" s="337"/>
      <c r="E203" s="337"/>
      <c r="F203" s="337"/>
      <c r="G203" s="337"/>
      <c r="H203" s="337"/>
      <c r="I203" s="337"/>
      <c r="J203" s="337"/>
      <c r="K203" s="337"/>
      <c r="L203" s="337"/>
      <c r="M203" s="34"/>
    </row>
    <row r="204" spans="2:13" ht="51" hidden="1" customHeight="1">
      <c r="B204" s="34"/>
      <c r="C204" s="34"/>
      <c r="D204" s="337"/>
      <c r="E204" s="337"/>
      <c r="F204" s="337"/>
      <c r="G204" s="337"/>
      <c r="H204" s="337"/>
      <c r="I204" s="337"/>
      <c r="J204" s="337"/>
      <c r="K204" s="337"/>
      <c r="L204" s="337"/>
      <c r="M204" s="34"/>
    </row>
    <row r="205" spans="2:13" ht="51" hidden="1" customHeight="1">
      <c r="B205" s="34"/>
      <c r="C205" s="34"/>
      <c r="D205" s="337"/>
      <c r="E205" s="337"/>
      <c r="F205" s="337"/>
      <c r="G205" s="337"/>
      <c r="H205" s="337"/>
      <c r="I205" s="337"/>
      <c r="J205" s="337"/>
      <c r="K205" s="337"/>
      <c r="L205" s="337"/>
      <c r="M205" s="34"/>
    </row>
    <row r="206" spans="2:13" ht="51" hidden="1" customHeight="1">
      <c r="B206" s="34"/>
      <c r="C206" s="34"/>
      <c r="D206" s="337"/>
      <c r="E206" s="337"/>
      <c r="F206" s="337"/>
      <c r="G206" s="337"/>
      <c r="H206" s="337"/>
      <c r="I206" s="337"/>
      <c r="J206" s="337"/>
      <c r="K206" s="337"/>
      <c r="L206" s="337"/>
      <c r="M206" s="34"/>
    </row>
    <row r="207" spans="2:13" ht="51" hidden="1" customHeight="1">
      <c r="B207" s="34"/>
      <c r="C207" s="34"/>
      <c r="D207" s="337"/>
      <c r="E207" s="337"/>
      <c r="F207" s="337"/>
      <c r="G207" s="337"/>
      <c r="H207" s="337"/>
      <c r="I207" s="337"/>
      <c r="J207" s="337"/>
      <c r="K207" s="337"/>
      <c r="L207" s="337"/>
      <c r="M207" s="34"/>
    </row>
    <row r="208" spans="2:13" ht="51" hidden="1" customHeight="1">
      <c r="B208" s="34"/>
      <c r="C208" s="34"/>
      <c r="D208" s="337"/>
      <c r="E208" s="337"/>
      <c r="F208" s="337"/>
      <c r="G208" s="337"/>
      <c r="H208" s="337"/>
      <c r="I208" s="337"/>
      <c r="J208" s="337"/>
      <c r="K208" s="337"/>
      <c r="L208" s="337"/>
      <c r="M208" s="34"/>
    </row>
    <row r="209" spans="2:15" ht="51" hidden="1" customHeight="1">
      <c r="B209" s="34"/>
      <c r="C209" s="34"/>
      <c r="D209" s="337"/>
      <c r="E209" s="337"/>
      <c r="F209" s="337"/>
      <c r="G209" s="337"/>
      <c r="H209" s="337"/>
      <c r="I209" s="337"/>
      <c r="J209" s="337"/>
      <c r="K209" s="337"/>
      <c r="L209" s="337"/>
      <c r="M209" s="34"/>
    </row>
    <row r="210" spans="2:15" ht="51" hidden="1" customHeight="1">
      <c r="B210" s="34"/>
      <c r="C210" s="34"/>
      <c r="D210" s="337"/>
      <c r="E210" s="337"/>
      <c r="F210" s="337"/>
      <c r="G210" s="337"/>
      <c r="H210" s="337"/>
      <c r="I210" s="337"/>
      <c r="J210" s="337"/>
      <c r="K210" s="337"/>
      <c r="L210" s="337"/>
      <c r="M210" s="34"/>
    </row>
    <row r="211" spans="2:15" ht="51" hidden="1" customHeight="1">
      <c r="B211" s="34"/>
      <c r="C211" s="34"/>
      <c r="D211" s="337"/>
      <c r="E211" s="337"/>
      <c r="F211" s="337"/>
      <c r="G211" s="337"/>
      <c r="H211" s="337"/>
      <c r="I211" s="337"/>
      <c r="J211" s="337"/>
      <c r="K211" s="337"/>
      <c r="L211" s="337"/>
      <c r="M211" s="34"/>
    </row>
    <row r="212" spans="2:15" ht="51" hidden="1" customHeight="1">
      <c r="B212" s="34"/>
      <c r="C212" s="34"/>
      <c r="D212" s="337"/>
      <c r="E212" s="337"/>
      <c r="F212" s="337"/>
      <c r="G212" s="337"/>
      <c r="H212" s="337"/>
      <c r="I212" s="337"/>
      <c r="J212" s="337"/>
      <c r="K212" s="337"/>
      <c r="L212" s="337"/>
      <c r="M212" s="34"/>
    </row>
    <row r="213" spans="2:15" ht="51" hidden="1" customHeight="1">
      <c r="B213" s="34"/>
      <c r="C213" s="34"/>
      <c r="D213" s="337"/>
      <c r="E213" s="337"/>
      <c r="F213" s="337"/>
      <c r="G213" s="337"/>
      <c r="H213" s="337"/>
      <c r="I213" s="337"/>
      <c r="J213" s="337"/>
      <c r="K213" s="337"/>
      <c r="L213" s="337"/>
      <c r="M213" s="34"/>
    </row>
    <row r="214" spans="2:15" ht="51" hidden="1" customHeight="1">
      <c r="B214" s="34"/>
      <c r="C214" s="34"/>
      <c r="D214" s="337"/>
      <c r="E214" s="337"/>
      <c r="F214" s="337"/>
      <c r="G214" s="337"/>
      <c r="H214" s="337"/>
      <c r="I214" s="337"/>
      <c r="J214" s="337"/>
      <c r="K214" s="337"/>
      <c r="L214" s="337"/>
      <c r="M214" s="34"/>
    </row>
    <row r="215" spans="2:15" ht="51" hidden="1" customHeight="1">
      <c r="B215" s="34"/>
      <c r="C215" s="34"/>
      <c r="D215" s="337"/>
      <c r="E215" s="337"/>
      <c r="F215" s="337"/>
      <c r="G215" s="337"/>
      <c r="H215" s="337"/>
      <c r="I215" s="337"/>
      <c r="J215" s="337"/>
      <c r="K215" s="337"/>
      <c r="L215" s="337"/>
      <c r="M215" s="34"/>
    </row>
    <row r="216" spans="2:15" ht="51" hidden="1" customHeight="1">
      <c r="B216" s="34"/>
      <c r="C216" s="34"/>
      <c r="D216" s="337"/>
      <c r="E216" s="337"/>
      <c r="F216" s="337"/>
      <c r="G216" s="337"/>
      <c r="H216" s="337"/>
      <c r="I216" s="337"/>
      <c r="J216" s="337"/>
      <c r="K216" s="337"/>
      <c r="L216" s="337"/>
      <c r="M216" s="34"/>
    </row>
    <row r="217" spans="2:15" ht="51" hidden="1" customHeight="1">
      <c r="B217" s="34"/>
      <c r="C217" s="34"/>
      <c r="D217" s="337"/>
      <c r="E217" s="337"/>
      <c r="F217" s="337"/>
      <c r="G217" s="337"/>
      <c r="H217" s="337"/>
      <c r="I217" s="337"/>
      <c r="J217" s="337"/>
      <c r="K217" s="337"/>
      <c r="L217" s="337"/>
      <c r="M217" s="34"/>
    </row>
    <row r="218" spans="2:15" ht="51" hidden="1" customHeight="1">
      <c r="B218" s="34"/>
      <c r="C218" s="34"/>
      <c r="D218" s="337"/>
      <c r="E218" s="337"/>
      <c r="F218" s="337"/>
      <c r="G218" s="337"/>
      <c r="H218" s="337"/>
      <c r="I218" s="337"/>
      <c r="J218" s="337"/>
      <c r="K218" s="337"/>
      <c r="L218" s="337"/>
      <c r="M218" s="34"/>
    </row>
    <row r="219" spans="2:15">
      <c r="B219" s="328" t="s">
        <v>528</v>
      </c>
      <c r="C219" s="34"/>
      <c r="D219" s="329">
        <v>2008</v>
      </c>
      <c r="E219" s="329">
        <f t="shared" ref="E219:M219" si="11">D219+1</f>
        <v>2009</v>
      </c>
      <c r="F219" s="329">
        <f t="shared" si="11"/>
        <v>2010</v>
      </c>
      <c r="G219" s="329">
        <f t="shared" si="11"/>
        <v>2011</v>
      </c>
      <c r="H219" s="329">
        <f t="shared" si="11"/>
        <v>2012</v>
      </c>
      <c r="I219" s="329">
        <f t="shared" si="11"/>
        <v>2013</v>
      </c>
      <c r="J219" s="329">
        <f t="shared" si="11"/>
        <v>2014</v>
      </c>
      <c r="K219" s="329">
        <f t="shared" si="11"/>
        <v>2015</v>
      </c>
      <c r="L219" s="329">
        <f t="shared" si="11"/>
        <v>2016</v>
      </c>
      <c r="M219" s="330">
        <f t="shared" si="11"/>
        <v>2017</v>
      </c>
    </row>
    <row r="220" spans="2:15">
      <c r="B220" s="331" t="s">
        <v>667</v>
      </c>
      <c r="C220" s="46" t="s">
        <v>336</v>
      </c>
      <c r="D220" s="332">
        <f>'18 Data for Charts'!O17/1000</f>
        <v>5.5110000000000001</v>
      </c>
      <c r="E220" s="332">
        <f>'18 Data for Charts'!P17/1000</f>
        <v>6.5949999999999998</v>
      </c>
      <c r="F220" s="332">
        <f>'18 Data for Charts'!Q17/1000</f>
        <v>16.463000000000001</v>
      </c>
      <c r="G220" s="332">
        <f>'18 Data for Charts'!R17/1000</f>
        <v>0</v>
      </c>
      <c r="H220" s="332">
        <f>'18 Data for Charts'!S17/1000</f>
        <v>0</v>
      </c>
      <c r="I220" s="332">
        <f>'18 Data for Charts'!T17/1000</f>
        <v>0</v>
      </c>
      <c r="J220" s="332" t="e">
        <f>'18 Data for Charts'!#REF!/1000</f>
        <v>#REF!</v>
      </c>
      <c r="K220" s="332" t="e">
        <f>'18 Data for Charts'!#REF!/1000</f>
        <v>#REF!</v>
      </c>
      <c r="L220" s="332" t="e">
        <f>'18 Data for Charts'!#REF!/1000</f>
        <v>#REF!</v>
      </c>
      <c r="M220" s="332" t="e">
        <f>'18 Data for Charts'!#REF!/1000</f>
        <v>#REF!</v>
      </c>
      <c r="O220" s="289" t="e">
        <f>SUM(D220:L220)</f>
        <v>#REF!</v>
      </c>
    </row>
    <row r="221" spans="2:15">
      <c r="B221" s="457" t="s">
        <v>807</v>
      </c>
      <c r="C221" s="458"/>
      <c r="D221" s="345">
        <v>-1.4999999999999999E-2</v>
      </c>
      <c r="E221" s="333">
        <f t="shared" ref="E221:L221" si="12">E220/D220-1</f>
        <v>0.19669751406278335</v>
      </c>
      <c r="F221" s="333">
        <f t="shared" si="12"/>
        <v>1.4962850644427599</v>
      </c>
      <c r="G221" s="333">
        <f t="shared" si="12"/>
        <v>-1</v>
      </c>
      <c r="H221" s="333" t="e">
        <f t="shared" si="12"/>
        <v>#DIV/0!</v>
      </c>
      <c r="I221" s="333" t="e">
        <f t="shared" si="12"/>
        <v>#DIV/0!</v>
      </c>
      <c r="J221" s="333" t="e">
        <f t="shared" si="12"/>
        <v>#REF!</v>
      </c>
      <c r="K221" s="333" t="e">
        <f t="shared" si="12"/>
        <v>#REF!</v>
      </c>
      <c r="L221" s="333" t="e">
        <f t="shared" si="12"/>
        <v>#REF!</v>
      </c>
      <c r="M221" s="370" t="s">
        <v>808</v>
      </c>
    </row>
    <row r="222" spans="2:15">
      <c r="B222" s="339" t="s">
        <v>528</v>
      </c>
      <c r="C222" s="458"/>
      <c r="D222" s="340">
        <v>2008</v>
      </c>
      <c r="E222" s="340">
        <f t="shared" ref="E222:M222" si="13">D222+1</f>
        <v>2009</v>
      </c>
      <c r="F222" s="340">
        <f t="shared" si="13"/>
        <v>2010</v>
      </c>
      <c r="G222" s="340">
        <f t="shared" si="13"/>
        <v>2011</v>
      </c>
      <c r="H222" s="340">
        <f t="shared" si="13"/>
        <v>2012</v>
      </c>
      <c r="I222" s="340">
        <f t="shared" si="13"/>
        <v>2013</v>
      </c>
      <c r="J222" s="340">
        <f t="shared" si="13"/>
        <v>2014</v>
      </c>
      <c r="K222" s="340">
        <f t="shared" si="13"/>
        <v>2015</v>
      </c>
      <c r="L222" s="340">
        <f t="shared" si="13"/>
        <v>2016</v>
      </c>
      <c r="M222" s="340">
        <f t="shared" si="13"/>
        <v>2017</v>
      </c>
      <c r="N222" s="243"/>
    </row>
    <row r="223" spans="2:15">
      <c r="B223" s="331" t="s">
        <v>779</v>
      </c>
      <c r="C223" s="46" t="s">
        <v>336</v>
      </c>
      <c r="D223" s="332" t="e">
        <f>'Econ-Perf 1'!#REF!/1000</f>
        <v>#REF!</v>
      </c>
      <c r="E223" s="332" t="e">
        <f>'Econ-Perf 1'!#REF!/1000</f>
        <v>#REF!</v>
      </c>
      <c r="F223" s="332" t="e">
        <f>'Econ-Perf 1'!#REF!/1000</f>
        <v>#REF!</v>
      </c>
      <c r="G223" s="332">
        <f>'Econ-Perf 1'!M8/1000</f>
        <v>0</v>
      </c>
      <c r="H223" s="332">
        <f>'Econ-Perf 1'!N8/1000</f>
        <v>0</v>
      </c>
      <c r="I223" s="332">
        <f>'Econ-Perf 1'!O8/1000</f>
        <v>5.5110000000000001</v>
      </c>
      <c r="J223" s="332">
        <f>'Econ-Perf 1'!P8/1000</f>
        <v>6.5949999999999998</v>
      </c>
      <c r="K223" s="332">
        <f>'Econ-Perf 1'!Q8/1000</f>
        <v>16.463000000000001</v>
      </c>
      <c r="L223" s="332">
        <f>'Econ-Perf 1'!R8/1000</f>
        <v>0</v>
      </c>
      <c r="M223" s="332">
        <f>'Econ-Perf 1'!S8/1000</f>
        <v>0</v>
      </c>
      <c r="N223" s="243"/>
      <c r="O223" s="247" t="e">
        <f>SUM(D223:L223)</f>
        <v>#REF!</v>
      </c>
    </row>
    <row r="224" spans="2:15">
      <c r="B224" s="459" t="s">
        <v>807</v>
      </c>
      <c r="C224" s="460"/>
      <c r="D224" s="346">
        <v>9.6000000000000002E-2</v>
      </c>
      <c r="E224" s="334" t="e">
        <f t="shared" ref="E224:M224" si="14">E223/D223-1</f>
        <v>#REF!</v>
      </c>
      <c r="F224" s="334" t="e">
        <f t="shared" si="14"/>
        <v>#REF!</v>
      </c>
      <c r="G224" s="334" t="e">
        <f t="shared" si="14"/>
        <v>#REF!</v>
      </c>
      <c r="H224" s="334" t="e">
        <f t="shared" si="14"/>
        <v>#DIV/0!</v>
      </c>
      <c r="I224" s="334" t="e">
        <f t="shared" si="14"/>
        <v>#DIV/0!</v>
      </c>
      <c r="J224" s="334">
        <f t="shared" si="14"/>
        <v>0.19669751406278335</v>
      </c>
      <c r="K224" s="334">
        <f t="shared" si="14"/>
        <v>1.4962850644427599</v>
      </c>
      <c r="L224" s="334">
        <f t="shared" si="14"/>
        <v>-1</v>
      </c>
      <c r="M224" s="334" t="e">
        <f t="shared" si="14"/>
        <v>#DIV/0!</v>
      </c>
    </row>
    <row r="225" spans="2:17">
      <c r="D225" s="217"/>
      <c r="E225" s="217"/>
      <c r="F225" s="217"/>
      <c r="G225" s="217"/>
      <c r="H225" s="217"/>
      <c r="I225" s="217"/>
      <c r="J225" s="217"/>
      <c r="K225" s="217"/>
      <c r="L225" s="217"/>
      <c r="Q225" s="33"/>
    </row>
    <row r="226" spans="2:17">
      <c r="B226" s="40" t="s">
        <v>809</v>
      </c>
      <c r="C226" s="28"/>
      <c r="D226" s="348"/>
      <c r="E226" s="348"/>
      <c r="F226" s="348"/>
      <c r="G226" s="348"/>
      <c r="H226" s="217"/>
      <c r="Q226" s="33"/>
    </row>
    <row r="227" spans="2:17" ht="15">
      <c r="B227" s="303"/>
      <c r="D227" s="393"/>
      <c r="E227" s="393"/>
      <c r="F227" s="393"/>
      <c r="G227" s="393"/>
      <c r="H227" s="217"/>
      <c r="Q227" s="33"/>
    </row>
    <row r="228" spans="2:17" ht="19.5">
      <c r="B228" s="341" t="str">
        <f>I228</f>
        <v>Market Value Added swing $676m!</v>
      </c>
      <c r="C228" s="342"/>
      <c r="D228" s="342"/>
      <c r="E228" s="83"/>
      <c r="F228" s="83"/>
      <c r="G228" s="83"/>
      <c r="I228" s="425" t="s">
        <v>810</v>
      </c>
      <c r="J228" s="33"/>
    </row>
    <row r="229" spans="2:17" ht="16.5">
      <c r="B229" s="343" t="str">
        <f>'X-Chart Basics'!F21</f>
        <v>The Warehouse v. Briscoe</v>
      </c>
      <c r="C229" s="342"/>
      <c r="D229" s="342"/>
      <c r="E229" s="83"/>
      <c r="F229" s="83"/>
      <c r="G229" s="83"/>
      <c r="I229" t="s">
        <v>461</v>
      </c>
      <c r="J229" s="33"/>
    </row>
    <row r="230" spans="2:17">
      <c r="B230" s="342"/>
      <c r="C230" s="342"/>
      <c r="D230" s="342"/>
      <c r="E230" s="83"/>
      <c r="F230" s="83"/>
      <c r="G230" s="83"/>
      <c r="J230" s="33"/>
    </row>
    <row r="231" spans="2:17" ht="13.5">
      <c r="B231" s="296" t="s">
        <v>796</v>
      </c>
      <c r="C231" s="83"/>
      <c r="D231" s="83"/>
      <c r="E231" s="83"/>
      <c r="F231" s="83"/>
      <c r="G231" s="83"/>
    </row>
    <row r="232" spans="2:17">
      <c r="G232" s="83"/>
    </row>
    <row r="233" spans="2:17">
      <c r="G233" s="83"/>
    </row>
    <row r="234" spans="2:17">
      <c r="G234" s="83"/>
    </row>
    <row r="235" spans="2:17">
      <c r="G235" s="83"/>
    </row>
    <row r="236" spans="2:17">
      <c r="G236" s="83"/>
    </row>
    <row r="237" spans="2:17">
      <c r="G237" s="83"/>
    </row>
    <row r="238" spans="2:17">
      <c r="G238" s="83"/>
    </row>
    <row r="239" spans="2:17">
      <c r="G239" s="83"/>
    </row>
    <row r="240" spans="2:17">
      <c r="G240" s="83"/>
    </row>
    <row r="241" spans="2:13">
      <c r="G241" s="83"/>
    </row>
    <row r="242" spans="2:13">
      <c r="G242" s="83"/>
    </row>
    <row r="243" spans="2:13">
      <c r="G243" s="83"/>
    </row>
    <row r="244" spans="2:13">
      <c r="G244" s="83"/>
    </row>
    <row r="245" spans="2:13">
      <c r="B245" s="83"/>
      <c r="C245" s="83"/>
      <c r="D245" s="83"/>
      <c r="E245" s="83"/>
      <c r="F245" s="83"/>
      <c r="G245" s="83"/>
    </row>
    <row r="246" spans="2:13" ht="13.5">
      <c r="B246" s="297" t="str">
        <f>'X-Chart Basics'!D20</f>
        <v>Source: Annual Reports</v>
      </c>
      <c r="C246" s="83"/>
      <c r="D246" s="83"/>
      <c r="E246" s="83"/>
      <c r="F246" s="83"/>
      <c r="G246" s="369"/>
      <c r="J246" s="33"/>
    </row>
    <row r="247" spans="2:13" ht="13.5">
      <c r="B247" s="297" t="str">
        <f>'X-Chart Basics'!F18</f>
        <v xml:space="preserve">Ireland, Wallace &amp; Associates </v>
      </c>
      <c r="C247" s="83"/>
      <c r="D247" s="83"/>
      <c r="E247" s="83"/>
      <c r="F247" s="344"/>
      <c r="G247" s="390">
        <v>42790</v>
      </c>
      <c r="J247" s="33"/>
    </row>
    <row r="248" spans="2:13" ht="13.5">
      <c r="B248" s="299"/>
      <c r="F248" s="463"/>
      <c r="G248" s="391"/>
      <c r="J248" s="33"/>
    </row>
    <row r="249" spans="2:13">
      <c r="B249" s="1" t="s">
        <v>811</v>
      </c>
      <c r="L249" s="33"/>
    </row>
    <row r="250" spans="2:13">
      <c r="B250" s="372" t="s">
        <v>667</v>
      </c>
      <c r="C250" s="373"/>
      <c r="D250" s="374"/>
      <c r="E250" s="374"/>
      <c r="F250" s="374"/>
      <c r="G250" s="374"/>
      <c r="H250" s="374"/>
      <c r="I250" s="374"/>
      <c r="J250" s="374"/>
      <c r="K250" s="374"/>
      <c r="L250" s="374"/>
      <c r="M250" s="375" t="s">
        <v>812</v>
      </c>
    </row>
    <row r="251" spans="2:13">
      <c r="B251" s="376"/>
      <c r="C251" s="377" t="s">
        <v>336</v>
      </c>
      <c r="D251" s="378">
        <v>2008</v>
      </c>
      <c r="E251" s="378">
        <f t="shared" ref="E251:M251" si="15">D251+1</f>
        <v>2009</v>
      </c>
      <c r="F251" s="378">
        <f t="shared" si="15"/>
        <v>2010</v>
      </c>
      <c r="G251" s="378">
        <f t="shared" si="15"/>
        <v>2011</v>
      </c>
      <c r="H251" s="378">
        <f t="shared" si="15"/>
        <v>2012</v>
      </c>
      <c r="I251" s="378">
        <f t="shared" si="15"/>
        <v>2013</v>
      </c>
      <c r="J251" s="378">
        <f t="shared" si="15"/>
        <v>2014</v>
      </c>
      <c r="K251" s="378">
        <f t="shared" si="15"/>
        <v>2015</v>
      </c>
      <c r="L251" s="378">
        <f t="shared" si="15"/>
        <v>2016</v>
      </c>
      <c r="M251" s="379">
        <f t="shared" si="15"/>
        <v>2017</v>
      </c>
    </row>
    <row r="252" spans="2:13">
      <c r="B252" s="376" t="s">
        <v>813</v>
      </c>
      <c r="C252" s="306"/>
      <c r="D252" s="371" t="e">
        <f>'18 Data for Charts'!O28/1000</f>
        <v>#REF!</v>
      </c>
      <c r="E252" s="371" t="e">
        <f>'18 Data for Charts'!P28/1000</f>
        <v>#REF!</v>
      </c>
      <c r="F252" s="371" t="e">
        <f>'18 Data for Charts'!Q28/1000</f>
        <v>#REF!</v>
      </c>
      <c r="G252" s="371" t="e">
        <f>'18 Data for Charts'!R28/1000</f>
        <v>#REF!</v>
      </c>
      <c r="H252" s="371" t="e">
        <f>'18 Data for Charts'!S28/1000</f>
        <v>#REF!</v>
      </c>
      <c r="I252" s="371" t="e">
        <f>'18 Data for Charts'!T28/1000</f>
        <v>#REF!</v>
      </c>
      <c r="J252" s="371" t="e">
        <f>'18 Data for Charts'!#REF!/1000</f>
        <v>#REF!</v>
      </c>
      <c r="K252" s="371" t="e">
        <f>'18 Data for Charts'!#REF!/1000</f>
        <v>#REF!</v>
      </c>
      <c r="L252" s="371" t="e">
        <f>'18 Data for Charts'!#REF!/1000</f>
        <v>#REF!</v>
      </c>
      <c r="M252" s="387">
        <f>1869458/1000</f>
        <v>1869.4580000000001</v>
      </c>
    </row>
    <row r="253" spans="2:13">
      <c r="B253" s="376" t="s">
        <v>457</v>
      </c>
      <c r="C253" s="306"/>
      <c r="D253" s="384" t="e">
        <f>'18 Data for Charts'!O29/1000</f>
        <v>#REF!</v>
      </c>
      <c r="E253" s="384" t="e">
        <f>'18 Data for Charts'!P29/1000</f>
        <v>#REF!</v>
      </c>
      <c r="F253" s="384" t="e">
        <f>'18 Data for Charts'!Q29/1000</f>
        <v>#REF!</v>
      </c>
      <c r="G253" s="384" t="e">
        <f>'18 Data for Charts'!R29/1000</f>
        <v>#REF!</v>
      </c>
      <c r="H253" s="384" t="e">
        <f>'18 Data for Charts'!S29/1000</f>
        <v>#REF!</v>
      </c>
      <c r="I253" s="384" t="e">
        <f>'18 Data for Charts'!T29/1000</f>
        <v>#REF!</v>
      </c>
      <c r="J253" s="384" t="e">
        <f>'18 Data for Charts'!#REF!/1000</f>
        <v>#REF!</v>
      </c>
      <c r="K253" s="384" t="e">
        <f>'18 Data for Charts'!#REF!/1000</f>
        <v>#REF!</v>
      </c>
      <c r="L253" s="384" t="e">
        <f>'18 Data for Charts'!#REF!/1000</f>
        <v>#REF!</v>
      </c>
      <c r="M253" s="388" t="e">
        <f>L253</f>
        <v>#REF!</v>
      </c>
    </row>
    <row r="254" spans="2:13">
      <c r="B254" s="376" t="s">
        <v>579</v>
      </c>
      <c r="C254" s="306"/>
      <c r="D254" s="371" t="e">
        <f>D252-D253</f>
        <v>#REF!</v>
      </c>
      <c r="E254" s="371" t="e">
        <f t="shared" ref="E254:M254" si="16">E252-E253</f>
        <v>#REF!</v>
      </c>
      <c r="F254" s="371" t="e">
        <f t="shared" si="16"/>
        <v>#REF!</v>
      </c>
      <c r="G254" s="371" t="e">
        <f t="shared" si="16"/>
        <v>#REF!</v>
      </c>
      <c r="H254" s="371" t="e">
        <f t="shared" si="16"/>
        <v>#REF!</v>
      </c>
      <c r="I254" s="371" t="e">
        <f t="shared" si="16"/>
        <v>#REF!</v>
      </c>
      <c r="J254" s="371" t="e">
        <f t="shared" si="16"/>
        <v>#REF!</v>
      </c>
      <c r="K254" s="371" t="e">
        <f t="shared" si="16"/>
        <v>#REF!</v>
      </c>
      <c r="L254" s="371" t="e">
        <f t="shared" si="16"/>
        <v>#REF!</v>
      </c>
      <c r="M254" s="387" t="e">
        <f t="shared" si="16"/>
        <v>#REF!</v>
      </c>
    </row>
    <row r="255" spans="2:13">
      <c r="B255" s="380" t="s">
        <v>779</v>
      </c>
      <c r="C255" s="310"/>
      <c r="D255" s="306"/>
      <c r="E255" s="306"/>
      <c r="F255" s="306"/>
      <c r="G255" s="306"/>
      <c r="H255" s="306"/>
      <c r="I255" s="306"/>
      <c r="J255" s="306"/>
      <c r="K255" s="306"/>
      <c r="L255" s="306"/>
      <c r="M255" s="382"/>
    </row>
    <row r="256" spans="2:13">
      <c r="B256" s="376"/>
      <c r="C256" s="377"/>
      <c r="D256" s="378">
        <f>D251</f>
        <v>2008</v>
      </c>
      <c r="E256" s="378">
        <f t="shared" ref="E256:M256" si="17">E251</f>
        <v>2009</v>
      </c>
      <c r="F256" s="378">
        <f t="shared" si="17"/>
        <v>2010</v>
      </c>
      <c r="G256" s="378">
        <f t="shared" si="17"/>
        <v>2011</v>
      </c>
      <c r="H256" s="378">
        <f t="shared" si="17"/>
        <v>2012</v>
      </c>
      <c r="I256" s="378">
        <f t="shared" si="17"/>
        <v>2013</v>
      </c>
      <c r="J256" s="378">
        <f t="shared" si="17"/>
        <v>2014</v>
      </c>
      <c r="K256" s="378">
        <f t="shared" si="17"/>
        <v>2015</v>
      </c>
      <c r="L256" s="378">
        <f t="shared" si="17"/>
        <v>2016</v>
      </c>
      <c r="M256" s="379">
        <f t="shared" si="17"/>
        <v>2017</v>
      </c>
    </row>
    <row r="257" spans="2:20">
      <c r="B257" s="376" t="s">
        <v>813</v>
      </c>
      <c r="C257" s="306"/>
      <c r="D257" s="371">
        <f>'Econ-Perf 2'!N48/1000</f>
        <v>0</v>
      </c>
      <c r="E257" s="371" t="e">
        <f>'Econ-Perf 2'!O48/1000</f>
        <v>#REF!</v>
      </c>
      <c r="F257" s="371" t="e">
        <f>'Econ-Perf 2'!P48/1000</f>
        <v>#REF!</v>
      </c>
      <c r="G257" s="371" t="e">
        <f>'Econ-Perf 2'!Q48/1000</f>
        <v>#REF!</v>
      </c>
      <c r="H257" s="371" t="e">
        <f>'Econ-Perf 2'!R48/1000</f>
        <v>#REF!</v>
      </c>
      <c r="I257" s="371" t="e">
        <f>'Econ-Perf 2'!S48/1000</f>
        <v>#REF!</v>
      </c>
      <c r="J257" s="371" t="e">
        <f>'Econ-Perf 2'!T48/1000</f>
        <v>#REF!</v>
      </c>
      <c r="K257" s="371" t="e">
        <f>'Econ-Perf 2'!#REF!/1000</f>
        <v>#REF!</v>
      </c>
      <c r="L257" s="371" t="e">
        <f>'Econ-Perf 2'!#REF!/1000</f>
        <v>#REF!</v>
      </c>
      <c r="M257" s="386" t="e">
        <f>'Mark-Expect'!#REF!/1000</f>
        <v>#REF!</v>
      </c>
    </row>
    <row r="258" spans="2:20">
      <c r="B258" s="376" t="s">
        <v>457</v>
      </c>
      <c r="C258" s="306"/>
      <c r="D258" s="384">
        <f>'Econ-Perf 2'!N47/1000</f>
        <v>0</v>
      </c>
      <c r="E258" s="384" t="e">
        <f>'Econ-Perf 2'!O47/1000</f>
        <v>#REF!</v>
      </c>
      <c r="F258" s="384" t="e">
        <f>'Econ-Perf 2'!P47/1000</f>
        <v>#REF!</v>
      </c>
      <c r="G258" s="384" t="e">
        <f>'Econ-Perf 2'!Q47/1000</f>
        <v>#REF!</v>
      </c>
      <c r="H258" s="384" t="e">
        <f>'Econ-Perf 2'!R47/1000</f>
        <v>#REF!</v>
      </c>
      <c r="I258" s="384" t="e">
        <f>'Econ-Perf 2'!S47/1000</f>
        <v>#REF!</v>
      </c>
      <c r="J258" s="384" t="e">
        <f>'Econ-Perf 2'!T47/1000</f>
        <v>#REF!</v>
      </c>
      <c r="K258" s="384" t="e">
        <f>'Econ-Perf 2'!#REF!/1000</f>
        <v>#REF!</v>
      </c>
      <c r="L258" s="384" t="e">
        <f>'Econ-Perf 2'!#REF!/1000</f>
        <v>#REF!</v>
      </c>
      <c r="M258" s="389" t="e">
        <f>'Mark-Expect'!#REF!/1000</f>
        <v>#REF!</v>
      </c>
    </row>
    <row r="259" spans="2:20">
      <c r="B259" s="376" t="s">
        <v>579</v>
      </c>
      <c r="C259" s="306"/>
      <c r="D259" s="371">
        <f>D257-D258</f>
        <v>0</v>
      </c>
      <c r="E259" s="371" t="e">
        <f t="shared" ref="E259:L259" si="18">E257-E258</f>
        <v>#REF!</v>
      </c>
      <c r="F259" s="371" t="e">
        <f t="shared" si="18"/>
        <v>#REF!</v>
      </c>
      <c r="G259" s="371" t="e">
        <f t="shared" si="18"/>
        <v>#REF!</v>
      </c>
      <c r="H259" s="371" t="e">
        <f t="shared" si="18"/>
        <v>#REF!</v>
      </c>
      <c r="I259" s="371" t="e">
        <f t="shared" si="18"/>
        <v>#REF!</v>
      </c>
      <c r="J259" s="371" t="e">
        <f t="shared" si="18"/>
        <v>#REF!</v>
      </c>
      <c r="K259" s="371" t="e">
        <f t="shared" si="18"/>
        <v>#REF!</v>
      </c>
      <c r="L259" s="371" t="e">
        <f t="shared" si="18"/>
        <v>#REF!</v>
      </c>
      <c r="M259" s="386" t="e">
        <f>'Mark-Expect'!#REF!/1000</f>
        <v>#REF!</v>
      </c>
    </row>
    <row r="260" spans="2:20">
      <c r="B260" s="376"/>
      <c r="C260" s="306"/>
      <c r="D260" s="371"/>
      <c r="E260" s="371"/>
      <c r="F260" s="371"/>
      <c r="G260" s="371"/>
      <c r="H260" s="371"/>
      <c r="I260" s="371"/>
      <c r="J260" s="371"/>
      <c r="K260" s="371"/>
      <c r="L260" s="371"/>
      <c r="M260" s="385"/>
    </row>
    <row r="261" spans="2:20">
      <c r="B261" s="380" t="s">
        <v>814</v>
      </c>
      <c r="C261" s="381"/>
      <c r="D261" s="378">
        <v>2008</v>
      </c>
      <c r="E261" s="378">
        <f t="shared" ref="E261:L261" si="19">D261+1</f>
        <v>2009</v>
      </c>
      <c r="F261" s="378">
        <f t="shared" si="19"/>
        <v>2010</v>
      </c>
      <c r="G261" s="378">
        <f t="shared" si="19"/>
        <v>2011</v>
      </c>
      <c r="H261" s="378">
        <f t="shared" si="19"/>
        <v>2012</v>
      </c>
      <c r="I261" s="378">
        <f t="shared" si="19"/>
        <v>2013</v>
      </c>
      <c r="J261" s="378">
        <f t="shared" si="19"/>
        <v>2014</v>
      </c>
      <c r="K261" s="378">
        <f t="shared" si="19"/>
        <v>2015</v>
      </c>
      <c r="L261" s="378">
        <f t="shared" si="19"/>
        <v>2016</v>
      </c>
      <c r="M261" s="383">
        <v>2017</v>
      </c>
    </row>
    <row r="262" spans="2:20">
      <c r="B262" s="376" t="s">
        <v>667</v>
      </c>
      <c r="C262" s="306"/>
      <c r="D262" s="371" t="e">
        <f>D254</f>
        <v>#REF!</v>
      </c>
      <c r="E262" s="371" t="e">
        <f t="shared" ref="E262:L262" si="20">E254</f>
        <v>#REF!</v>
      </c>
      <c r="F262" s="371" t="e">
        <f t="shared" si="20"/>
        <v>#REF!</v>
      </c>
      <c r="G262" s="371" t="e">
        <f t="shared" si="20"/>
        <v>#REF!</v>
      </c>
      <c r="H262" s="371" t="e">
        <f t="shared" si="20"/>
        <v>#REF!</v>
      </c>
      <c r="I262" s="371" t="e">
        <f t="shared" si="20"/>
        <v>#REF!</v>
      </c>
      <c r="J262" s="371" t="e">
        <f t="shared" si="20"/>
        <v>#REF!</v>
      </c>
      <c r="K262" s="371" t="e">
        <f t="shared" si="20"/>
        <v>#REF!</v>
      </c>
      <c r="L262" s="371" t="e">
        <f t="shared" si="20"/>
        <v>#REF!</v>
      </c>
      <c r="M262" s="387" t="e">
        <f>M254</f>
        <v>#REF!</v>
      </c>
    </row>
    <row r="263" spans="2:20">
      <c r="B263" s="376" t="s">
        <v>779</v>
      </c>
      <c r="C263" s="306"/>
      <c r="D263" s="384">
        <f>D259</f>
        <v>0</v>
      </c>
      <c r="E263" s="384" t="e">
        <f t="shared" ref="E263:L263" si="21">E259</f>
        <v>#REF!</v>
      </c>
      <c r="F263" s="384" t="e">
        <f t="shared" si="21"/>
        <v>#REF!</v>
      </c>
      <c r="G263" s="384" t="e">
        <f t="shared" si="21"/>
        <v>#REF!</v>
      </c>
      <c r="H263" s="384" t="e">
        <f t="shared" si="21"/>
        <v>#REF!</v>
      </c>
      <c r="I263" s="384" t="e">
        <f t="shared" si="21"/>
        <v>#REF!</v>
      </c>
      <c r="J263" s="384" t="e">
        <f t="shared" si="21"/>
        <v>#REF!</v>
      </c>
      <c r="K263" s="384" t="e">
        <f t="shared" si="21"/>
        <v>#REF!</v>
      </c>
      <c r="L263" s="384" t="e">
        <f t="shared" si="21"/>
        <v>#REF!</v>
      </c>
      <c r="M263" s="389" t="e">
        <f>M259</f>
        <v>#REF!</v>
      </c>
      <c r="N263" s="377" t="s">
        <v>815</v>
      </c>
      <c r="T263" s="14"/>
    </row>
    <row r="264" spans="2:20">
      <c r="B264" s="461" t="s">
        <v>407</v>
      </c>
      <c r="C264" s="462"/>
      <c r="D264" s="384" t="e">
        <f>D262-D263</f>
        <v>#REF!</v>
      </c>
      <c r="E264" s="384" t="e">
        <f t="shared" ref="E264:M264" si="22">E262-E263</f>
        <v>#REF!</v>
      </c>
      <c r="F264" s="384" t="e">
        <f t="shared" si="22"/>
        <v>#REF!</v>
      </c>
      <c r="G264" s="384" t="e">
        <f t="shared" si="22"/>
        <v>#REF!</v>
      </c>
      <c r="H264" s="384" t="e">
        <f t="shared" si="22"/>
        <v>#REF!</v>
      </c>
      <c r="I264" s="384" t="e">
        <f t="shared" si="22"/>
        <v>#REF!</v>
      </c>
      <c r="J264" s="384" t="e">
        <f t="shared" si="22"/>
        <v>#REF!</v>
      </c>
      <c r="K264" s="384" t="e">
        <f t="shared" si="22"/>
        <v>#REF!</v>
      </c>
      <c r="L264" s="384" t="e">
        <f t="shared" si="22"/>
        <v>#REF!</v>
      </c>
      <c r="M264" s="388" t="e">
        <f t="shared" si="22"/>
        <v>#REF!</v>
      </c>
      <c r="N264" s="14" t="e">
        <f>D264-M264</f>
        <v>#REF!</v>
      </c>
    </row>
    <row r="265" spans="2:20">
      <c r="B265" s="264"/>
      <c r="C265" s="264"/>
      <c r="D265" s="217"/>
      <c r="E265" s="217"/>
      <c r="F265" s="217"/>
      <c r="G265" s="217"/>
      <c r="H265" s="217"/>
      <c r="I265" s="217"/>
      <c r="J265" s="217"/>
      <c r="K265" s="217"/>
      <c r="L265" s="217"/>
      <c r="M265" s="33"/>
      <c r="Q265" s="33"/>
    </row>
    <row r="266" spans="2:20">
      <c r="B266" s="40" t="s">
        <v>816</v>
      </c>
      <c r="C266" s="28"/>
      <c r="D266" s="28"/>
      <c r="E266" s="28"/>
      <c r="F266" s="348"/>
      <c r="G266" s="348"/>
      <c r="O266" s="308"/>
    </row>
    <row r="267" spans="2:20" ht="15">
      <c r="B267" s="303"/>
      <c r="F267" s="393"/>
      <c r="G267" s="393"/>
      <c r="O267" s="308"/>
    </row>
    <row r="268" spans="2:20" ht="19.5">
      <c r="B268" s="312" t="str">
        <f>I269</f>
        <v>EVA drives MVA</v>
      </c>
      <c r="C268" s="83"/>
      <c r="D268" s="83"/>
      <c r="E268" s="83"/>
      <c r="F268" s="83"/>
      <c r="G268" s="83"/>
      <c r="I268" s="425" t="s">
        <v>817</v>
      </c>
    </row>
    <row r="269" spans="2:20" ht="16.5">
      <c r="B269" s="487" t="s">
        <v>774</v>
      </c>
      <c r="C269" s="83"/>
      <c r="D269" s="83"/>
      <c r="E269" s="83"/>
      <c r="F269" s="83"/>
      <c r="G269" s="83"/>
      <c r="I269" t="s">
        <v>818</v>
      </c>
    </row>
    <row r="270" spans="2:20" ht="13.5">
      <c r="B270" s="296" t="s">
        <v>796</v>
      </c>
      <c r="C270" s="83"/>
      <c r="D270" s="83"/>
      <c r="E270" s="83"/>
      <c r="F270" s="83"/>
      <c r="G270" s="83"/>
      <c r="J270" s="46"/>
    </row>
    <row r="271" spans="2:20">
      <c r="B271" s="83"/>
      <c r="C271" s="83"/>
      <c r="D271" s="83"/>
      <c r="E271" s="83"/>
      <c r="F271" s="83"/>
      <c r="G271" s="83"/>
      <c r="J271" s="33"/>
    </row>
    <row r="272" spans="2:20">
      <c r="B272" s="307"/>
      <c r="C272" s="307"/>
      <c r="D272" s="307"/>
      <c r="E272" s="307"/>
      <c r="F272" s="316"/>
      <c r="G272" s="83"/>
    </row>
    <row r="273" spans="2:17">
      <c r="F273" s="117"/>
      <c r="J273" s="33"/>
    </row>
    <row r="274" spans="2:17">
      <c r="F274" s="117"/>
      <c r="J274" s="33"/>
    </row>
    <row r="275" spans="2:17">
      <c r="F275" s="117"/>
      <c r="J275" s="33"/>
    </row>
    <row r="276" spans="2:17">
      <c r="F276" s="117"/>
      <c r="J276" s="33"/>
    </row>
    <row r="277" spans="2:17">
      <c r="F277" s="117"/>
      <c r="J277" s="33"/>
    </row>
    <row r="278" spans="2:17">
      <c r="F278" s="117"/>
      <c r="J278" s="33"/>
    </row>
    <row r="279" spans="2:17">
      <c r="F279" s="117"/>
      <c r="J279" s="33"/>
    </row>
    <row r="280" spans="2:17">
      <c r="F280" s="117"/>
      <c r="J280" s="33"/>
    </row>
    <row r="281" spans="2:17">
      <c r="F281" s="117"/>
      <c r="J281" s="33"/>
    </row>
    <row r="282" spans="2:17">
      <c r="F282" s="117"/>
      <c r="J282" s="33"/>
    </row>
    <row r="283" spans="2:17">
      <c r="F283" s="117"/>
      <c r="J283" s="33"/>
    </row>
    <row r="284" spans="2:17" ht="13.5">
      <c r="B284" s="297" t="str">
        <f>'X-Chart Basics'!D20</f>
        <v>Source: Annual Reports</v>
      </c>
      <c r="C284" s="83"/>
      <c r="D284" s="83"/>
      <c r="E284" s="83"/>
      <c r="F284" s="83"/>
      <c r="G284" s="83"/>
      <c r="J284" s="33"/>
    </row>
    <row r="285" spans="2:17" ht="13.5">
      <c r="B285" s="297" t="str">
        <f>'X-Chart Basics'!F18</f>
        <v xml:space="preserve">Ireland, Wallace &amp; Associates </v>
      </c>
      <c r="C285" s="83"/>
      <c r="D285" s="83"/>
      <c r="E285" s="83"/>
      <c r="F285" s="369"/>
      <c r="G285" s="390">
        <v>42790</v>
      </c>
      <c r="J285" s="33"/>
    </row>
    <row r="286" spans="2:17" ht="13.5">
      <c r="I286" s="299"/>
      <c r="M286" s="186"/>
      <c r="N286" s="391"/>
      <c r="Q286" s="33"/>
    </row>
    <row r="287" spans="2:17">
      <c r="B287" s="1" t="s">
        <v>819</v>
      </c>
      <c r="L287" s="33"/>
    </row>
    <row r="288" spans="2:17" ht="13.5">
      <c r="B288" s="280"/>
      <c r="C288" s="25"/>
      <c r="D288" s="281"/>
      <c r="E288" s="281"/>
      <c r="F288" s="281"/>
      <c r="G288" s="281"/>
      <c r="H288" s="281"/>
      <c r="I288" s="281"/>
      <c r="J288" s="281"/>
      <c r="K288" s="281"/>
      <c r="L288" s="281"/>
      <c r="M288" s="395">
        <f>'X-Chart Basics'!D24</f>
        <v>42790</v>
      </c>
    </row>
    <row r="289" spans="2:17" ht="15">
      <c r="B289" s="282"/>
      <c r="C289" s="377" t="s">
        <v>336</v>
      </c>
      <c r="D289" s="245">
        <v>2008</v>
      </c>
      <c r="E289" s="245">
        <f t="shared" ref="E289:L289" si="23">D289+1</f>
        <v>2009</v>
      </c>
      <c r="F289" s="245">
        <f t="shared" si="23"/>
        <v>2010</v>
      </c>
      <c r="G289" s="245">
        <f t="shared" si="23"/>
        <v>2011</v>
      </c>
      <c r="H289" s="245">
        <f t="shared" si="23"/>
        <v>2012</v>
      </c>
      <c r="I289" s="245">
        <f t="shared" si="23"/>
        <v>2013</v>
      </c>
      <c r="J289" s="245">
        <f t="shared" si="23"/>
        <v>2014</v>
      </c>
      <c r="K289" s="245">
        <f t="shared" si="23"/>
        <v>2015</v>
      </c>
      <c r="L289" s="245">
        <f t="shared" si="23"/>
        <v>2016</v>
      </c>
      <c r="M289" s="279">
        <v>2017</v>
      </c>
    </row>
    <row r="290" spans="2:17">
      <c r="B290" s="243" t="s">
        <v>579</v>
      </c>
      <c r="D290" s="246" t="e">
        <f>'18 Data for Charts'!O30/1000</f>
        <v>#REF!</v>
      </c>
      <c r="E290" s="246" t="e">
        <f>'18 Data for Charts'!P30/1000</f>
        <v>#REF!</v>
      </c>
      <c r="F290" s="246" t="e">
        <f>'18 Data for Charts'!Q30/1000</f>
        <v>#REF!</v>
      </c>
      <c r="G290" s="246" t="e">
        <f>'18 Data for Charts'!R30/1000</f>
        <v>#REF!</v>
      </c>
      <c r="H290" s="246" t="e">
        <f>'18 Data for Charts'!S30/1000</f>
        <v>#REF!</v>
      </c>
      <c r="I290" s="246" t="e">
        <f>'18 Data for Charts'!T30/1000</f>
        <v>#REF!</v>
      </c>
      <c r="J290" s="246" t="e">
        <f>'18 Data for Charts'!#REF!/1000</f>
        <v>#REF!</v>
      </c>
      <c r="K290" s="246" t="e">
        <f>'18 Data for Charts'!#REF!/1000</f>
        <v>#REF!</v>
      </c>
      <c r="L290" s="246" t="e">
        <f>'18 Data for Charts'!#REF!/1000</f>
        <v>#REF!</v>
      </c>
      <c r="M290" s="396" t="e">
        <f>M262</f>
        <v>#REF!</v>
      </c>
    </row>
    <row r="291" spans="2:17">
      <c r="B291" s="278" t="s">
        <v>534</v>
      </c>
      <c r="C291" s="4"/>
      <c r="D291" s="10" t="e">
        <f>'18 Data for Charts'!O5/1000</f>
        <v>#REF!</v>
      </c>
      <c r="E291" s="10" t="e">
        <f>'18 Data for Charts'!P5/1000</f>
        <v>#REF!</v>
      </c>
      <c r="F291" s="10" t="e">
        <f>'18 Data for Charts'!Q5/1000</f>
        <v>#REF!</v>
      </c>
      <c r="G291" s="10" t="e">
        <f>'18 Data for Charts'!R5/1000</f>
        <v>#REF!</v>
      </c>
      <c r="H291" s="10" t="e">
        <f>'18 Data for Charts'!S5/1000</f>
        <v>#REF!</v>
      </c>
      <c r="I291" s="10" t="e">
        <f>'18 Data for Charts'!T5/1000</f>
        <v>#REF!</v>
      </c>
      <c r="J291" s="10" t="e">
        <f>'18 Data for Charts'!#REF!/1000</f>
        <v>#REF!</v>
      </c>
      <c r="K291" s="10" t="e">
        <f>'18 Data for Charts'!#REF!/1000</f>
        <v>#REF!</v>
      </c>
      <c r="L291" s="10" t="e">
        <f>'18 Data for Charts'!#REF!/1000</f>
        <v>#REF!</v>
      </c>
      <c r="M291" s="392"/>
      <c r="N291" s="243"/>
    </row>
    <row r="292" spans="2:17">
      <c r="D292" s="217"/>
      <c r="E292" s="217"/>
      <c r="F292" s="217"/>
      <c r="G292" s="217"/>
      <c r="H292" s="217"/>
      <c r="I292" s="217"/>
      <c r="J292" s="217"/>
      <c r="K292" s="217"/>
      <c r="L292" s="217"/>
      <c r="M292" s="33"/>
      <c r="Q292" s="33"/>
    </row>
    <row r="293" spans="2:17" ht="15">
      <c r="B293" s="347" t="s">
        <v>820</v>
      </c>
      <c r="C293" s="28"/>
      <c r="D293" s="28"/>
      <c r="E293" s="28"/>
      <c r="F293" s="348"/>
      <c r="G293" s="348"/>
      <c r="Q293" s="33"/>
    </row>
    <row r="294" spans="2:17" ht="15">
      <c r="B294" s="303"/>
      <c r="F294" s="393"/>
      <c r="G294" s="393"/>
      <c r="Q294" s="33"/>
    </row>
    <row r="295" spans="2:17" ht="19.5">
      <c r="B295" s="397" t="str">
        <f>I296</f>
        <v>EVA drives MVA</v>
      </c>
      <c r="C295" s="83"/>
      <c r="D295" s="83"/>
      <c r="E295" s="83"/>
      <c r="F295" s="83"/>
      <c r="G295" s="83"/>
      <c r="I295" s="425" t="s">
        <v>817</v>
      </c>
      <c r="J295" s="33"/>
    </row>
    <row r="296" spans="2:17">
      <c r="B296" s="398" t="str">
        <f>'X-Chart Basics'!C9</f>
        <v>Briscoe</v>
      </c>
      <c r="C296" s="83"/>
      <c r="D296" s="83"/>
      <c r="E296" s="83"/>
      <c r="F296" s="83"/>
      <c r="G296" s="83"/>
      <c r="I296" t="s">
        <v>818</v>
      </c>
      <c r="J296" s="33"/>
    </row>
    <row r="297" spans="2:17">
      <c r="B297" s="83" t="str">
        <f>'X-Chart Basics'!F23</f>
        <v>Millions of Dollars</v>
      </c>
      <c r="C297" s="83"/>
      <c r="D297" s="83"/>
      <c r="E297" s="83"/>
      <c r="F297" s="83"/>
      <c r="G297" s="83"/>
      <c r="I297" t="s">
        <v>817</v>
      </c>
      <c r="J297" s="33"/>
    </row>
    <row r="298" spans="2:17">
      <c r="B298" s="83"/>
      <c r="C298" s="83"/>
      <c r="D298" s="83"/>
      <c r="E298" s="83"/>
      <c r="F298" s="83"/>
      <c r="G298" s="83"/>
      <c r="J298" s="33"/>
    </row>
    <row r="299" spans="2:17">
      <c r="B299" s="83"/>
      <c r="C299" s="83"/>
      <c r="D299" s="83"/>
      <c r="E299" s="83"/>
      <c r="F299" s="83"/>
      <c r="G299" s="83"/>
      <c r="J299" s="33"/>
    </row>
    <row r="300" spans="2:17">
      <c r="B300" s="83"/>
      <c r="C300" s="83"/>
      <c r="D300" s="83"/>
      <c r="E300" s="83"/>
      <c r="F300" s="83"/>
      <c r="G300" s="83"/>
      <c r="J300" s="33"/>
    </row>
    <row r="301" spans="2:17">
      <c r="B301" s="83"/>
      <c r="C301" s="83"/>
      <c r="D301" s="83"/>
      <c r="E301" s="83"/>
      <c r="F301" s="83"/>
      <c r="G301" s="83"/>
      <c r="J301" s="33"/>
    </row>
    <row r="302" spans="2:17">
      <c r="B302" s="83"/>
      <c r="C302" s="83"/>
      <c r="D302" s="83"/>
      <c r="E302" s="83"/>
      <c r="F302" s="83"/>
      <c r="G302" s="83"/>
      <c r="J302" s="33"/>
    </row>
    <row r="303" spans="2:17">
      <c r="B303" s="83"/>
      <c r="C303" s="83"/>
      <c r="D303" s="83"/>
      <c r="E303" s="83"/>
      <c r="F303" s="83"/>
      <c r="G303" s="83"/>
      <c r="J303" s="33"/>
    </row>
    <row r="304" spans="2:17">
      <c r="B304" s="83"/>
      <c r="C304" s="83"/>
      <c r="D304" s="83"/>
      <c r="E304" s="83"/>
      <c r="F304" s="83"/>
      <c r="G304" s="83"/>
      <c r="J304" s="33"/>
    </row>
    <row r="305" spans="2:18">
      <c r="B305" s="83"/>
      <c r="C305" s="83"/>
      <c r="D305" s="83"/>
      <c r="E305" s="83"/>
      <c r="F305" s="83"/>
      <c r="G305" s="83"/>
      <c r="J305" s="33"/>
    </row>
    <row r="306" spans="2:18">
      <c r="B306" s="83"/>
      <c r="C306" s="83"/>
      <c r="D306" s="83"/>
      <c r="E306" s="83"/>
      <c r="F306" s="83"/>
      <c r="G306" s="83"/>
      <c r="J306" s="33"/>
    </row>
    <row r="307" spans="2:18">
      <c r="B307" s="83"/>
      <c r="C307" s="83"/>
      <c r="D307" s="83"/>
      <c r="E307" s="83"/>
      <c r="F307" s="83"/>
      <c r="G307" s="83"/>
      <c r="J307" s="33"/>
    </row>
    <row r="308" spans="2:18">
      <c r="B308" s="83"/>
      <c r="C308" s="83"/>
      <c r="D308" s="83"/>
      <c r="E308" s="83"/>
      <c r="F308" s="83"/>
      <c r="G308" s="83"/>
      <c r="J308" s="33"/>
    </row>
    <row r="309" spans="2:18">
      <c r="B309" s="83"/>
      <c r="C309" s="83"/>
      <c r="D309" s="83"/>
      <c r="E309" s="83"/>
      <c r="F309" s="83"/>
      <c r="G309" s="83"/>
      <c r="J309" s="33"/>
    </row>
    <row r="310" spans="2:18">
      <c r="B310" s="83"/>
      <c r="C310" s="83"/>
      <c r="D310" s="83"/>
      <c r="E310" s="83"/>
      <c r="F310" s="83"/>
      <c r="G310" s="83"/>
      <c r="J310" s="33"/>
    </row>
    <row r="311" spans="2:18" ht="13.5">
      <c r="B311" s="297" t="str">
        <f>'X-Chart Basics'!D20</f>
        <v>Source: Annual Reports</v>
      </c>
      <c r="C311" s="83"/>
      <c r="D311" s="83"/>
      <c r="E311" s="83"/>
      <c r="F311" s="83"/>
      <c r="G311" s="83"/>
      <c r="J311" s="33"/>
    </row>
    <row r="312" spans="2:18" ht="13.5">
      <c r="B312" s="297" t="str">
        <f>'X-Chart Basics'!F18</f>
        <v xml:space="preserve">Ireland, Wallace &amp; Associates </v>
      </c>
      <c r="C312" s="83"/>
      <c r="D312" s="83"/>
      <c r="E312" s="83"/>
      <c r="F312" s="369"/>
      <c r="G312" s="390">
        <f>'X-Chart Basics'!D24</f>
        <v>42790</v>
      </c>
      <c r="J312" s="33"/>
    </row>
    <row r="313" spans="2:18" ht="13.5">
      <c r="B313" s="299"/>
      <c r="F313" s="186"/>
      <c r="G313" s="391"/>
      <c r="J313" s="33"/>
    </row>
    <row r="314" spans="2:18">
      <c r="B314" s="1" t="s">
        <v>821</v>
      </c>
      <c r="C314" s="4"/>
      <c r="L314" s="33"/>
    </row>
    <row r="315" spans="2:18" ht="15">
      <c r="B315" s="283"/>
      <c r="C315" s="377" t="s">
        <v>336</v>
      </c>
      <c r="D315" s="284">
        <v>2008</v>
      </c>
      <c r="E315" s="284">
        <f t="shared" ref="E315:L315" si="24">D315+1</f>
        <v>2009</v>
      </c>
      <c r="F315" s="284">
        <f t="shared" si="24"/>
        <v>2010</v>
      </c>
      <c r="G315" s="284">
        <f t="shared" si="24"/>
        <v>2011</v>
      </c>
      <c r="H315" s="284">
        <f t="shared" si="24"/>
        <v>2012</v>
      </c>
      <c r="I315" s="284">
        <f t="shared" si="24"/>
        <v>2013</v>
      </c>
      <c r="J315" s="284">
        <f t="shared" si="24"/>
        <v>2014</v>
      </c>
      <c r="K315" s="284">
        <f t="shared" si="24"/>
        <v>2015</v>
      </c>
      <c r="L315" s="284">
        <f t="shared" si="24"/>
        <v>2016</v>
      </c>
      <c r="M315" s="288">
        <v>2017</v>
      </c>
    </row>
    <row r="316" spans="2:18">
      <c r="B316" s="243" t="s">
        <v>579</v>
      </c>
      <c r="D316" s="9" t="e">
        <f>#REF!/1000</f>
        <v>#REF!</v>
      </c>
      <c r="E316" s="9" t="e">
        <f>#REF!/1000</f>
        <v>#REF!</v>
      </c>
      <c r="F316" s="9" t="e">
        <f>#REF!/1000</f>
        <v>#REF!</v>
      </c>
      <c r="G316" s="9" t="e">
        <f>#REF!/1000</f>
        <v>#REF!</v>
      </c>
      <c r="H316" s="9" t="e">
        <f>#REF!/1000</f>
        <v>#REF!</v>
      </c>
      <c r="I316" s="9" t="e">
        <f>#REF!/1000</f>
        <v>#REF!</v>
      </c>
      <c r="J316" s="9" t="e">
        <f>#REF!/1000</f>
        <v>#REF!</v>
      </c>
      <c r="K316" s="9" t="e">
        <f>#REF!/1000</f>
        <v>#REF!</v>
      </c>
      <c r="L316" s="9" t="e">
        <f>#REF!/1000</f>
        <v>#REF!</v>
      </c>
      <c r="M316" s="350" t="e">
        <f>M259</f>
        <v>#REF!</v>
      </c>
    </row>
    <row r="317" spans="2:18">
      <c r="B317" s="278" t="s">
        <v>534</v>
      </c>
      <c r="C317" s="4"/>
      <c r="D317" s="10" t="e">
        <f>#REF!/1000</f>
        <v>#REF!</v>
      </c>
      <c r="E317" s="10" t="e">
        <f>#REF!/1000</f>
        <v>#REF!</v>
      </c>
      <c r="F317" s="10" t="e">
        <f>#REF!/1000</f>
        <v>#REF!</v>
      </c>
      <c r="G317" s="10" t="e">
        <f>#REF!/1000</f>
        <v>#REF!</v>
      </c>
      <c r="H317" s="10" t="e">
        <f>#REF!/1000</f>
        <v>#REF!</v>
      </c>
      <c r="I317" s="10" t="e">
        <f>#REF!/1000</f>
        <v>#REF!</v>
      </c>
      <c r="J317" s="10" t="e">
        <f>#REF!/1000</f>
        <v>#REF!</v>
      </c>
      <c r="K317" s="10" t="e">
        <f>#REF!/1000</f>
        <v>#REF!</v>
      </c>
      <c r="L317" s="10" t="e">
        <f>#REF!/1000</f>
        <v>#REF!</v>
      </c>
      <c r="M317" s="351" t="e">
        <f>#REF!/1000</f>
        <v>#REF!</v>
      </c>
    </row>
    <row r="318" spans="2:18">
      <c r="I318" s="9"/>
      <c r="J318" s="9"/>
      <c r="K318" s="9"/>
      <c r="L318" s="9"/>
      <c r="M318" s="9"/>
      <c r="N318" s="9"/>
      <c r="O318" s="9"/>
      <c r="P318" s="9"/>
      <c r="Q318" s="9"/>
      <c r="R318" s="73"/>
    </row>
    <row r="319" spans="2:18">
      <c r="B319" s="40" t="s">
        <v>822</v>
      </c>
      <c r="C319" s="28"/>
      <c r="D319" s="28"/>
      <c r="E319" s="28"/>
      <c r="F319" s="348"/>
      <c r="G319" s="348"/>
      <c r="Q319" s="33"/>
    </row>
    <row r="320" spans="2:18">
      <c r="Q320" s="33"/>
    </row>
    <row r="321" spans="3:17" ht="19.5">
      <c r="I321" s="425" t="s">
        <v>608</v>
      </c>
      <c r="Q321" s="33"/>
    </row>
    <row r="322" spans="3:17">
      <c r="Q322" s="33"/>
    </row>
    <row r="323" spans="3:17">
      <c r="Q323" s="33"/>
    </row>
    <row r="324" spans="3:17">
      <c r="Q324" s="33"/>
    </row>
    <row r="325" spans="3:17">
      <c r="Q325" s="33"/>
    </row>
    <row r="326" spans="3:17">
      <c r="Q326" s="33"/>
    </row>
    <row r="327" spans="3:17">
      <c r="Q327" s="33"/>
    </row>
    <row r="328" spans="3:17">
      <c r="Q328" s="33"/>
    </row>
    <row r="329" spans="3:17">
      <c r="Q329" s="33"/>
    </row>
    <row r="330" spans="3:17">
      <c r="Q330" s="33"/>
    </row>
    <row r="331" spans="3:17" ht="13.5">
      <c r="H331" s="464">
        <v>42790</v>
      </c>
      <c r="Q331" s="33"/>
    </row>
    <row r="332" spans="3:17">
      <c r="Q332" s="33"/>
    </row>
    <row r="333" spans="3:17">
      <c r="Q333" s="33"/>
    </row>
    <row r="334" spans="3:17">
      <c r="Q334" s="33"/>
    </row>
    <row r="335" spans="3:17">
      <c r="C335" s="249"/>
      <c r="D335" s="249"/>
      <c r="E335" s="249"/>
      <c r="F335" s="249"/>
    </row>
    <row r="336" spans="3:17">
      <c r="C336" s="249"/>
      <c r="D336" s="249"/>
      <c r="E336" s="249"/>
      <c r="F336" s="249"/>
    </row>
    <row r="337" spans="2:13">
      <c r="B337" s="1" t="s">
        <v>823</v>
      </c>
      <c r="C337" s="249"/>
      <c r="D337" s="249"/>
      <c r="E337" s="249"/>
      <c r="F337" s="249"/>
      <c r="G337" s="249"/>
      <c r="H337" s="249"/>
    </row>
    <row r="339" spans="2:13">
      <c r="B339" t="s">
        <v>824</v>
      </c>
      <c r="C339" s="13" t="e">
        <f>TSR!#REF!</f>
        <v>#REF!</v>
      </c>
      <c r="D339" s="13" t="e">
        <f t="shared" ref="D339:L339" si="25">C339+1</f>
        <v>#REF!</v>
      </c>
      <c r="E339" s="13" t="e">
        <f t="shared" si="25"/>
        <v>#REF!</v>
      </c>
      <c r="F339" s="13" t="e">
        <f t="shared" si="25"/>
        <v>#REF!</v>
      </c>
      <c r="G339" s="13" t="e">
        <f t="shared" si="25"/>
        <v>#REF!</v>
      </c>
      <c r="H339" s="13" t="e">
        <f t="shared" si="25"/>
        <v>#REF!</v>
      </c>
      <c r="I339" s="13" t="e">
        <f t="shared" si="25"/>
        <v>#REF!</v>
      </c>
      <c r="J339" s="13" t="e">
        <f t="shared" si="25"/>
        <v>#REF!</v>
      </c>
      <c r="K339" s="13" t="e">
        <f t="shared" si="25"/>
        <v>#REF!</v>
      </c>
      <c r="L339" s="13" t="e">
        <f t="shared" si="25"/>
        <v>#REF!</v>
      </c>
    </row>
    <row r="340" spans="2:13">
      <c r="B340" t="s">
        <v>825</v>
      </c>
      <c r="C340" s="24" t="e">
        <f>TSR!V14</f>
        <v>#REF!</v>
      </c>
      <c r="D340" s="24" t="e">
        <f>TSR!V17</f>
        <v>#REF!</v>
      </c>
      <c r="E340" s="24" t="e">
        <f>TSR!V20</f>
        <v>#REF!</v>
      </c>
      <c r="F340" s="24" t="e">
        <f>TSR!V23</f>
        <v>#REF!</v>
      </c>
      <c r="G340" s="24" t="e">
        <f>TSR!V26</f>
        <v>#REF!</v>
      </c>
      <c r="H340" s="24" t="e">
        <f>TSR!V29</f>
        <v>#REF!</v>
      </c>
      <c r="I340" s="24" t="e">
        <f>TSR!V32</f>
        <v>#REF!</v>
      </c>
      <c r="J340" s="24" t="e">
        <f>TSR!V35</f>
        <v>#REF!</v>
      </c>
      <c r="K340" s="24" t="e">
        <f>TSR!V38</f>
        <v>#REF!</v>
      </c>
      <c r="L340" s="24" t="e">
        <f>TSR!V41</f>
        <v>#REF!</v>
      </c>
      <c r="M340" t="s">
        <v>826</v>
      </c>
    </row>
    <row r="341" spans="2:13">
      <c r="B341" s="249"/>
      <c r="C341" s="249"/>
      <c r="D341" s="249"/>
      <c r="E341" s="249"/>
      <c r="F341" s="249"/>
      <c r="G341" s="249"/>
      <c r="H341" s="249"/>
    </row>
    <row r="342" spans="2:13">
      <c r="B342" s="349" t="s">
        <v>608</v>
      </c>
    </row>
    <row r="343" spans="2:13">
      <c r="B343" s="306" t="s">
        <v>827</v>
      </c>
      <c r="C343" s="13">
        <f>TSR!I43</f>
        <v>2007</v>
      </c>
      <c r="D343" s="13">
        <f t="shared" ref="D343:L343" si="26">C343+1</f>
        <v>2008</v>
      </c>
      <c r="E343" s="13">
        <f t="shared" si="26"/>
        <v>2009</v>
      </c>
      <c r="F343" s="13">
        <f t="shared" si="26"/>
        <v>2010</v>
      </c>
      <c r="G343" s="13">
        <f t="shared" si="26"/>
        <v>2011</v>
      </c>
      <c r="H343" s="13">
        <f t="shared" si="26"/>
        <v>2012</v>
      </c>
      <c r="I343" s="13">
        <f t="shared" si="26"/>
        <v>2013</v>
      </c>
      <c r="J343" s="13">
        <f t="shared" si="26"/>
        <v>2014</v>
      </c>
      <c r="K343" s="13">
        <f t="shared" si="26"/>
        <v>2015</v>
      </c>
      <c r="L343" s="13">
        <f t="shared" si="26"/>
        <v>2016</v>
      </c>
      <c r="M343" s="13">
        <v>2017</v>
      </c>
    </row>
    <row r="344" spans="2:13">
      <c r="B344" s="306" t="s">
        <v>608</v>
      </c>
      <c r="C344" s="24" t="e">
        <f>TSR!I10</f>
        <v>#REF!</v>
      </c>
      <c r="D344" s="24" t="e">
        <f>TSR!J10</f>
        <v>#REF!</v>
      </c>
      <c r="E344" s="24" t="e">
        <f>TSR!K10</f>
        <v>#REF!</v>
      </c>
      <c r="F344" s="24" t="e">
        <f>TSR!L10</f>
        <v>#REF!</v>
      </c>
      <c r="G344" s="24" t="e">
        <f>TSR!M10</f>
        <v>#REF!</v>
      </c>
      <c r="H344" s="24" t="e">
        <f>TSR!N10</f>
        <v>#REF!</v>
      </c>
      <c r="I344" s="24" t="e">
        <f>TSR!O10</f>
        <v>#REF!</v>
      </c>
      <c r="J344" s="24" t="e">
        <f>TSR!P10</f>
        <v>#REF!</v>
      </c>
      <c r="K344" s="24" t="e">
        <f>TSR!Q10</f>
        <v>#REF!</v>
      </c>
      <c r="L344" s="24" t="e">
        <f>TSR!R10</f>
        <v>#REF!</v>
      </c>
    </row>
    <row r="345" spans="2:13">
      <c r="B345" s="306"/>
      <c r="C345" s="24"/>
      <c r="D345" s="24"/>
      <c r="E345" s="24"/>
      <c r="F345" s="24"/>
      <c r="G345" s="24"/>
      <c r="H345" s="24"/>
      <c r="I345" s="24"/>
      <c r="J345" s="24"/>
      <c r="K345" s="24"/>
      <c r="L345" s="24"/>
    </row>
    <row r="346" spans="2:13">
      <c r="B346" t="s">
        <v>454</v>
      </c>
      <c r="E346" s="249"/>
      <c r="F346" s="249"/>
      <c r="G346" s="249"/>
      <c r="H346" s="249"/>
      <c r="I346" s="249"/>
      <c r="J346" s="249"/>
      <c r="K346" s="249"/>
      <c r="L346" s="249"/>
    </row>
    <row r="347" spans="2:13">
      <c r="B347" t="s">
        <v>452</v>
      </c>
      <c r="C347" s="13" t="e">
        <f>TSR!#REF!</f>
        <v>#REF!</v>
      </c>
      <c r="D347" s="13" t="e">
        <f>TSR!#REF!</f>
        <v>#REF!</v>
      </c>
      <c r="E347" s="13" t="e">
        <f>TSR!#REF!</f>
        <v>#REF!</v>
      </c>
      <c r="F347" s="13" t="e">
        <f>TSR!#REF!</f>
        <v>#REF!</v>
      </c>
      <c r="G347" s="13" t="e">
        <f>TSR!#REF!</f>
        <v>#REF!</v>
      </c>
      <c r="H347" s="13" t="e">
        <f>TSR!#REF!</f>
        <v>#REF!</v>
      </c>
      <c r="I347" s="13" t="e">
        <f>TSR!#REF!</f>
        <v>#REF!</v>
      </c>
      <c r="J347" s="13" t="e">
        <f>TSR!#REF!</f>
        <v>#REF!</v>
      </c>
      <c r="K347" s="13" t="e">
        <f>TSR!#REF!</f>
        <v>#REF!</v>
      </c>
      <c r="L347" s="13" t="e">
        <f>TSR!#REF!</f>
        <v>#REF!</v>
      </c>
      <c r="M347" s="13">
        <v>2017</v>
      </c>
    </row>
    <row r="348" spans="2:13">
      <c r="B348" t="s">
        <v>667</v>
      </c>
      <c r="C348" s="323">
        <v>6.1</v>
      </c>
      <c r="D348" s="323">
        <v>3.22</v>
      </c>
      <c r="E348" s="323">
        <v>3.99</v>
      </c>
      <c r="F348" s="323">
        <v>3.53</v>
      </c>
      <c r="G348" s="323">
        <v>3.54</v>
      </c>
      <c r="H348" s="323">
        <v>2.6</v>
      </c>
      <c r="I348" s="323">
        <v>3.92</v>
      </c>
      <c r="J348" s="323">
        <v>3.17</v>
      </c>
      <c r="K348" s="323">
        <v>2.57</v>
      </c>
      <c r="L348" s="323">
        <v>2.8</v>
      </c>
      <c r="M348" s="323">
        <v>2.63</v>
      </c>
    </row>
    <row r="349" spans="2:13">
      <c r="B349" s="306" t="s">
        <v>779</v>
      </c>
      <c r="C349" s="323" t="e">
        <f>TSR!I6</f>
        <v>#REF!</v>
      </c>
      <c r="D349" s="323" t="e">
        <f>TSR!J6</f>
        <v>#REF!</v>
      </c>
      <c r="E349" s="323" t="e">
        <f>TSR!K6</f>
        <v>#REF!</v>
      </c>
      <c r="F349" s="323" t="e">
        <f>TSR!L6</f>
        <v>#REF!</v>
      </c>
      <c r="G349" s="323" t="e">
        <f>TSR!M6</f>
        <v>#REF!</v>
      </c>
      <c r="H349" s="323" t="e">
        <f>TSR!N6</f>
        <v>#REF!</v>
      </c>
      <c r="I349" s="323" t="e">
        <f>TSR!O6</f>
        <v>#REF!</v>
      </c>
      <c r="J349" s="323" t="e">
        <f>TSR!P6</f>
        <v>#REF!</v>
      </c>
      <c r="K349" s="323" t="e">
        <f>TSR!Q6</f>
        <v>#REF!</v>
      </c>
      <c r="L349" s="323" t="e">
        <f>TSR!R6</f>
        <v>#REF!</v>
      </c>
      <c r="M349" s="323" t="e">
        <f>#REF!</f>
        <v>#REF!</v>
      </c>
    </row>
    <row r="350" spans="2:13">
      <c r="B350" s="1"/>
      <c r="E350" s="249"/>
      <c r="F350" s="249"/>
      <c r="G350" s="249"/>
      <c r="H350" s="249"/>
      <c r="I350" s="249"/>
      <c r="J350" s="249"/>
      <c r="K350" s="249"/>
      <c r="L350" s="249"/>
    </row>
    <row r="351" spans="2:13">
      <c r="B351" s="306" t="s">
        <v>779</v>
      </c>
      <c r="E351" s="249"/>
      <c r="F351" s="249"/>
      <c r="G351" s="249"/>
      <c r="H351" s="249"/>
      <c r="I351" s="249"/>
      <c r="J351" s="249"/>
      <c r="K351" s="249"/>
      <c r="L351" s="249"/>
    </row>
    <row r="352" spans="2:13">
      <c r="B352" s="306" t="s">
        <v>824</v>
      </c>
      <c r="C352" s="13">
        <f>TSR!I43</f>
        <v>2007</v>
      </c>
      <c r="D352" s="13">
        <f>TSR!J43</f>
        <v>2008</v>
      </c>
      <c r="E352" s="13">
        <f>TSR!K43</f>
        <v>2009</v>
      </c>
      <c r="F352" s="13">
        <f>TSR!L43</f>
        <v>2010</v>
      </c>
      <c r="G352" s="13">
        <f>TSR!M43</f>
        <v>2011</v>
      </c>
      <c r="H352" s="13">
        <f>TSR!N43</f>
        <v>2012</v>
      </c>
      <c r="I352" s="13">
        <f>TSR!O43</f>
        <v>2013</v>
      </c>
      <c r="J352" s="13">
        <f>TSR!P43</f>
        <v>2014</v>
      </c>
      <c r="K352" s="13">
        <f>TSR!Q43</f>
        <v>2015</v>
      </c>
      <c r="L352" s="13">
        <f>TSR!R43</f>
        <v>2016</v>
      </c>
    </row>
    <row r="353" spans="2:15">
      <c r="B353" s="306" t="s">
        <v>608</v>
      </c>
      <c r="C353" s="23" t="e">
        <f>TSR!I46</f>
        <v>#REF!</v>
      </c>
      <c r="D353" s="23" t="e">
        <f>TSR!J46</f>
        <v>#REF!</v>
      </c>
      <c r="E353" s="23" t="e">
        <f>TSR!K46</f>
        <v>#REF!</v>
      </c>
      <c r="F353" s="23" t="e">
        <f>TSR!L46</f>
        <v>#REF!</v>
      </c>
      <c r="G353" s="23" t="e">
        <f>TSR!M46</f>
        <v>#REF!</v>
      </c>
      <c r="H353" s="23" t="e">
        <f>TSR!N46</f>
        <v>#REF!</v>
      </c>
      <c r="I353" s="23" t="e">
        <f>TSR!O46</f>
        <v>#REF!</v>
      </c>
      <c r="J353" s="23" t="e">
        <f>TSR!P46</f>
        <v>#REF!</v>
      </c>
      <c r="K353" s="23" t="e">
        <f>TSR!Q46</f>
        <v>#REF!</v>
      </c>
      <c r="L353" s="23" t="e">
        <f>TSR!R46</f>
        <v>#REF!</v>
      </c>
    </row>
    <row r="354" spans="2:15">
      <c r="B354" s="306" t="s">
        <v>463</v>
      </c>
      <c r="C354" s="23" t="e">
        <f>TSR!U47</f>
        <v>#REF!</v>
      </c>
      <c r="D354" s="23" t="e">
        <f t="shared" ref="D354:L354" si="27">C354</f>
        <v>#REF!</v>
      </c>
      <c r="E354" s="23" t="e">
        <f t="shared" si="27"/>
        <v>#REF!</v>
      </c>
      <c r="F354" s="23" t="e">
        <f t="shared" si="27"/>
        <v>#REF!</v>
      </c>
      <c r="G354" s="23" t="e">
        <f t="shared" si="27"/>
        <v>#REF!</v>
      </c>
      <c r="H354" s="23" t="e">
        <f t="shared" si="27"/>
        <v>#REF!</v>
      </c>
      <c r="I354" s="23" t="e">
        <f t="shared" si="27"/>
        <v>#REF!</v>
      </c>
      <c r="J354" s="23" t="e">
        <f t="shared" si="27"/>
        <v>#REF!</v>
      </c>
      <c r="K354" s="23" t="e">
        <f t="shared" si="27"/>
        <v>#REF!</v>
      </c>
      <c r="L354" s="23" t="e">
        <f t="shared" si="27"/>
        <v>#REF!</v>
      </c>
    </row>
    <row r="355" spans="2:15">
      <c r="C355" s="41" t="e">
        <f t="shared" ref="C355:L355" si="28">C353-C354</f>
        <v>#REF!</v>
      </c>
      <c r="D355" s="41" t="e">
        <f t="shared" si="28"/>
        <v>#REF!</v>
      </c>
      <c r="E355" s="41" t="e">
        <f t="shared" si="28"/>
        <v>#REF!</v>
      </c>
      <c r="F355" s="41" t="e">
        <f t="shared" si="28"/>
        <v>#REF!</v>
      </c>
      <c r="G355" s="41" t="e">
        <f t="shared" si="28"/>
        <v>#REF!</v>
      </c>
      <c r="H355" s="41" t="e">
        <f t="shared" si="28"/>
        <v>#REF!</v>
      </c>
      <c r="I355" s="41" t="e">
        <f t="shared" si="28"/>
        <v>#REF!</v>
      </c>
      <c r="J355" s="41" t="e">
        <f t="shared" si="28"/>
        <v>#REF!</v>
      </c>
      <c r="K355" s="41" t="e">
        <f t="shared" si="28"/>
        <v>#REF!</v>
      </c>
      <c r="L355" s="41" t="e">
        <f t="shared" si="28"/>
        <v>#REF!</v>
      </c>
    </row>
    <row r="356" spans="2:15">
      <c r="C356" s="41"/>
      <c r="D356" s="41"/>
      <c r="E356" s="41"/>
      <c r="F356" s="41"/>
      <c r="G356" s="41"/>
      <c r="H356" s="41"/>
      <c r="I356" s="41"/>
      <c r="J356" s="41"/>
      <c r="K356" s="41"/>
      <c r="L356" s="41"/>
    </row>
    <row r="357" spans="2:15">
      <c r="B357" s="40" t="s">
        <v>828</v>
      </c>
      <c r="C357" s="28"/>
      <c r="D357" s="28"/>
      <c r="E357" s="28"/>
      <c r="F357" s="348"/>
      <c r="G357" s="348"/>
      <c r="H357" s="1"/>
      <c r="I357" s="249"/>
      <c r="J357" s="249"/>
      <c r="K357" s="249"/>
      <c r="L357" s="249"/>
      <c r="M357" s="249"/>
      <c r="N357" s="249"/>
    </row>
    <row r="358" spans="2:15">
      <c r="B358" s="1"/>
      <c r="F358" s="393"/>
      <c r="G358" s="393"/>
      <c r="H358" s="1"/>
      <c r="I358" s="249"/>
      <c r="J358" s="249"/>
      <c r="K358" s="249"/>
      <c r="L358" s="249"/>
      <c r="M358" s="249"/>
      <c r="N358" s="249"/>
    </row>
    <row r="359" spans="2:15" ht="19.5">
      <c r="B359" s="425" t="s">
        <v>829</v>
      </c>
      <c r="H359" s="1"/>
      <c r="I359" s="249"/>
      <c r="J359" s="249"/>
      <c r="K359" s="249"/>
      <c r="L359" s="249"/>
      <c r="M359" s="249"/>
      <c r="N359" s="249"/>
    </row>
    <row r="360" spans="2:15">
      <c r="H360" s="1"/>
      <c r="I360" s="249"/>
      <c r="J360" s="249"/>
      <c r="K360" s="249"/>
      <c r="L360" s="249"/>
      <c r="M360" s="249"/>
      <c r="N360" s="249"/>
      <c r="O360" s="249"/>
    </row>
    <row r="361" spans="2:15">
      <c r="H361" s="1"/>
      <c r="I361" s="249"/>
      <c r="J361" s="249"/>
      <c r="K361" s="249"/>
      <c r="L361" s="249"/>
      <c r="M361" s="249"/>
      <c r="N361" s="249"/>
    </row>
    <row r="362" spans="2:15">
      <c r="H362" s="1"/>
      <c r="I362" s="249"/>
      <c r="J362" s="249"/>
      <c r="K362" s="249"/>
      <c r="L362" s="249"/>
      <c r="M362" s="249"/>
      <c r="N362" s="249"/>
    </row>
    <row r="363" spans="2:15">
      <c r="H363" s="1"/>
      <c r="I363" s="249"/>
      <c r="J363" s="249"/>
      <c r="K363" s="249"/>
      <c r="L363" s="249"/>
      <c r="M363" s="249"/>
      <c r="N363" s="249"/>
    </row>
    <row r="364" spans="2:15">
      <c r="H364" s="1"/>
      <c r="I364" s="249"/>
      <c r="J364" s="249"/>
      <c r="K364" s="249"/>
      <c r="L364" s="249"/>
      <c r="M364" s="249"/>
      <c r="N364" s="249"/>
    </row>
    <row r="365" spans="2:15">
      <c r="B365" s="40" t="s">
        <v>830</v>
      </c>
      <c r="C365" s="28"/>
      <c r="D365" s="28"/>
      <c r="E365" s="28"/>
      <c r="F365" s="348"/>
      <c r="G365" s="348"/>
    </row>
    <row r="366" spans="2:15">
      <c r="B366" s="1"/>
      <c r="F366" s="393"/>
      <c r="G366" s="393"/>
    </row>
    <row r="367" spans="2:15" ht="19.5">
      <c r="B367" s="425" t="s">
        <v>625</v>
      </c>
    </row>
    <row r="368" spans="2:15">
      <c r="B368" t="s">
        <v>608</v>
      </c>
      <c r="C368" s="4"/>
      <c r="D368" s="4"/>
      <c r="E368" s="4"/>
    </row>
    <row r="369" spans="2:14" ht="15">
      <c r="D369" s="245">
        <v>2008</v>
      </c>
      <c r="E369" s="245">
        <f t="shared" ref="E369:M369" si="29">D369+1</f>
        <v>2009</v>
      </c>
      <c r="F369" s="245">
        <f t="shared" si="29"/>
        <v>2010</v>
      </c>
      <c r="G369" s="245">
        <f t="shared" si="29"/>
        <v>2011</v>
      </c>
      <c r="H369" s="245">
        <f t="shared" si="29"/>
        <v>2012</v>
      </c>
      <c r="I369" s="245">
        <f t="shared" si="29"/>
        <v>2013</v>
      </c>
      <c r="J369" s="245">
        <f t="shared" si="29"/>
        <v>2014</v>
      </c>
      <c r="K369" s="245">
        <f t="shared" si="29"/>
        <v>2015</v>
      </c>
      <c r="L369" s="245">
        <f t="shared" si="29"/>
        <v>2016</v>
      </c>
      <c r="M369" s="245">
        <f t="shared" si="29"/>
        <v>2017</v>
      </c>
    </row>
    <row r="370" spans="2:14">
      <c r="B370" t="s">
        <v>667</v>
      </c>
      <c r="D370" s="251">
        <f t="shared" ref="D370:M370" si="30">D376</f>
        <v>0.18820672957388263</v>
      </c>
      <c r="E370" s="251">
        <f t="shared" si="30"/>
        <v>-0.57514685090616147</v>
      </c>
      <c r="F370" s="251">
        <f t="shared" si="30"/>
        <v>0.15899989321358182</v>
      </c>
      <c r="G370" s="251">
        <f t="shared" si="30"/>
        <v>-0.19496977748490357</v>
      </c>
      <c r="H370" s="251">
        <f t="shared" si="30"/>
        <v>-6.4456125507935474E-2</v>
      </c>
      <c r="I370" s="251">
        <f t="shared" si="30"/>
        <v>-0.33851148089597349</v>
      </c>
      <c r="J370" s="251">
        <f t="shared" si="30"/>
        <v>0.46287360558816371</v>
      </c>
      <c r="K370" s="251">
        <f t="shared" si="30"/>
        <v>-0.26002107573051753</v>
      </c>
      <c r="L370" s="251">
        <f t="shared" si="30"/>
        <v>-0.26050119470302768</v>
      </c>
      <c r="M370" s="261">
        <f t="shared" si="30"/>
        <v>2.5731039889271279E-2</v>
      </c>
    </row>
    <row r="371" spans="2:14">
      <c r="B371" t="s">
        <v>831</v>
      </c>
      <c r="D371" s="251" t="e">
        <f t="shared" ref="D371:M371" si="31">D381</f>
        <v>#REF!</v>
      </c>
      <c r="E371" s="251" t="e">
        <f t="shared" si="31"/>
        <v>#REF!</v>
      </c>
      <c r="F371" s="251" t="e">
        <f t="shared" si="31"/>
        <v>#REF!</v>
      </c>
      <c r="G371" s="251" t="e">
        <f t="shared" si="31"/>
        <v>#REF!</v>
      </c>
      <c r="H371" s="251" t="e">
        <f t="shared" si="31"/>
        <v>#REF!</v>
      </c>
      <c r="I371" s="251" t="e">
        <f t="shared" si="31"/>
        <v>#REF!</v>
      </c>
      <c r="J371" s="251" t="e">
        <f t="shared" si="31"/>
        <v>#REF!</v>
      </c>
      <c r="K371" s="251" t="e">
        <f t="shared" si="31"/>
        <v>#REF!</v>
      </c>
      <c r="L371" s="251" t="e">
        <f t="shared" si="31"/>
        <v>#REF!</v>
      </c>
      <c r="M371" s="261" t="e">
        <f t="shared" si="31"/>
        <v>#REF!</v>
      </c>
    </row>
    <row r="373" spans="2:14">
      <c r="B373" s="13" t="s">
        <v>667</v>
      </c>
      <c r="C373" s="4"/>
    </row>
    <row r="374" spans="2:14">
      <c r="B374" t="s">
        <v>832</v>
      </c>
      <c r="D374" s="251">
        <v>0.32383966244725726</v>
      </c>
      <c r="E374" s="251">
        <v>-0.43770491803278683</v>
      </c>
      <c r="F374" s="251">
        <v>0.30434782608695649</v>
      </c>
      <c r="G374" s="251">
        <v>-5.5137844611528923E-2</v>
      </c>
      <c r="H374" s="251">
        <v>6.5155807365439161E-2</v>
      </c>
      <c r="I374" s="251">
        <v>-0.20903954802259886</v>
      </c>
      <c r="J374" s="251">
        <v>0.58846153846153837</v>
      </c>
      <c r="K374" s="251">
        <v>-0.14285714285714288</v>
      </c>
      <c r="L374" s="251">
        <v>-0.13880126182965302</v>
      </c>
      <c r="M374" s="261">
        <v>0.15175097276264593</v>
      </c>
    </row>
    <row r="375" spans="2:14">
      <c r="B375" t="s">
        <v>833</v>
      </c>
      <c r="D375" s="252">
        <v>0.13563293287337463</v>
      </c>
      <c r="E375" s="252">
        <v>0.13744193287337464</v>
      </c>
      <c r="F375" s="252">
        <v>0.14534793287337466</v>
      </c>
      <c r="G375" s="252">
        <v>0.13983193287337464</v>
      </c>
      <c r="H375" s="252">
        <v>0.12961193287337464</v>
      </c>
      <c r="I375" s="252">
        <v>0.12947193287337466</v>
      </c>
      <c r="J375" s="252">
        <v>0.12558793287337466</v>
      </c>
      <c r="K375" s="252">
        <v>0.11716393287337465</v>
      </c>
      <c r="L375" s="252">
        <v>0.12169993287337465</v>
      </c>
      <c r="M375" s="262">
        <v>0.12601993287337465</v>
      </c>
    </row>
    <row r="376" spans="2:14">
      <c r="B376" s="1" t="s">
        <v>628</v>
      </c>
      <c r="D376" s="251">
        <v>0.18820672957388263</v>
      </c>
      <c r="E376" s="251">
        <v>-0.57514685090616147</v>
      </c>
      <c r="F376" s="251">
        <v>0.15899989321358182</v>
      </c>
      <c r="G376" s="251">
        <v>-0.19496977748490357</v>
      </c>
      <c r="H376" s="251">
        <v>-6.4456125507935474E-2</v>
      </c>
      <c r="I376" s="251">
        <v>-0.33851148089597349</v>
      </c>
      <c r="J376" s="251">
        <v>0.46287360558816371</v>
      </c>
      <c r="K376" s="251">
        <v>-0.26002107573051753</v>
      </c>
      <c r="L376" s="251">
        <v>-0.26050119470302768</v>
      </c>
      <c r="M376" s="261">
        <v>2.5731039889271279E-2</v>
      </c>
    </row>
    <row r="377" spans="2:14">
      <c r="B377" s="1"/>
      <c r="D377" s="251"/>
      <c r="E377" s="251"/>
      <c r="F377" s="251"/>
      <c r="G377" s="251"/>
      <c r="H377" s="251"/>
      <c r="I377" s="251"/>
      <c r="J377" s="251"/>
      <c r="K377" s="251"/>
      <c r="L377" s="251"/>
      <c r="M377" s="251"/>
    </row>
    <row r="378" spans="2:14">
      <c r="B378" s="13" t="s">
        <v>779</v>
      </c>
      <c r="C378" s="4"/>
      <c r="D378" s="251"/>
      <c r="E378" s="251"/>
      <c r="F378" s="251"/>
      <c r="G378" s="251"/>
      <c r="H378" s="251"/>
      <c r="I378" s="251"/>
      <c r="J378" s="251"/>
      <c r="K378" s="251"/>
      <c r="L378" s="251"/>
      <c r="M378" s="251"/>
    </row>
    <row r="379" spans="2:14">
      <c r="B379" t="s">
        <v>832</v>
      </c>
      <c r="D379" s="53" t="e">
        <f>TSR!I46</f>
        <v>#REF!</v>
      </c>
      <c r="E379" s="53" t="e">
        <f>TSR!J46</f>
        <v>#REF!</v>
      </c>
      <c r="F379" s="53" t="e">
        <f>TSR!K46</f>
        <v>#REF!</v>
      </c>
      <c r="G379" s="53" t="e">
        <f>TSR!L46</f>
        <v>#REF!</v>
      </c>
      <c r="H379" s="53" t="e">
        <f>TSR!M46</f>
        <v>#REF!</v>
      </c>
      <c r="I379" s="53" t="e">
        <f>TSR!N46</f>
        <v>#REF!</v>
      </c>
      <c r="J379" s="53" t="e">
        <f>TSR!O46</f>
        <v>#REF!</v>
      </c>
      <c r="K379" s="53" t="e">
        <f>TSR!P46</f>
        <v>#REF!</v>
      </c>
      <c r="L379" s="53" t="e">
        <f>TSR!Q46</f>
        <v>#REF!</v>
      </c>
      <c r="M379" s="260" t="e">
        <f>TSR!R46</f>
        <v>#REF!</v>
      </c>
    </row>
    <row r="380" spans="2:14">
      <c r="B380" t="s">
        <v>833</v>
      </c>
      <c r="D380" s="81" t="e">
        <f>TSR!I47</f>
        <v>#REF!</v>
      </c>
      <c r="E380" s="81" t="e">
        <f>TSR!J47</f>
        <v>#REF!</v>
      </c>
      <c r="F380" s="81" t="e">
        <f>TSR!K47</f>
        <v>#REF!</v>
      </c>
      <c r="G380" s="81" t="e">
        <f>TSR!L47</f>
        <v>#REF!</v>
      </c>
      <c r="H380" s="81" t="e">
        <f>TSR!M47</f>
        <v>#REF!</v>
      </c>
      <c r="I380" s="81" t="e">
        <f>TSR!N47</f>
        <v>#REF!</v>
      </c>
      <c r="J380" s="81" t="e">
        <f>TSR!O47</f>
        <v>#REF!</v>
      </c>
      <c r="K380" s="81" t="e">
        <f>TSR!P47</f>
        <v>#REF!</v>
      </c>
      <c r="L380" s="81" t="e">
        <f>TSR!Q47</f>
        <v>#REF!</v>
      </c>
      <c r="M380" s="263" t="e">
        <f>TSR!R47</f>
        <v>#REF!</v>
      </c>
    </row>
    <row r="381" spans="2:14">
      <c r="B381" s="1" t="s">
        <v>628</v>
      </c>
      <c r="D381" s="53" t="e">
        <f>TSR!I48</f>
        <v>#REF!</v>
      </c>
      <c r="E381" s="53" t="e">
        <f>TSR!J48</f>
        <v>#REF!</v>
      </c>
      <c r="F381" s="53" t="e">
        <f>TSR!K48</f>
        <v>#REF!</v>
      </c>
      <c r="G381" s="53" t="e">
        <f>TSR!L48</f>
        <v>#REF!</v>
      </c>
      <c r="H381" s="53" t="e">
        <f>TSR!M48</f>
        <v>#REF!</v>
      </c>
      <c r="I381" s="53" t="e">
        <f>TSR!N48</f>
        <v>#REF!</v>
      </c>
      <c r="J381" s="53" t="e">
        <f>TSR!O48</f>
        <v>#REF!</v>
      </c>
      <c r="K381" s="53" t="e">
        <f>TSR!P48</f>
        <v>#REF!</v>
      </c>
      <c r="L381" s="53" t="e">
        <f>TSR!Q48</f>
        <v>#REF!</v>
      </c>
      <c r="M381" s="53" t="e">
        <f>TSR!R48</f>
        <v>#REF!</v>
      </c>
      <c r="N381" s="164"/>
    </row>
    <row r="382" spans="2:14">
      <c r="B382" s="1"/>
      <c r="D382" s="53"/>
      <c r="E382" s="53"/>
      <c r="F382" s="53"/>
      <c r="G382" s="53"/>
      <c r="H382" s="53"/>
      <c r="I382" s="53"/>
      <c r="J382" s="53"/>
      <c r="K382" s="53"/>
      <c r="L382" s="53"/>
      <c r="M382" s="53"/>
      <c r="N382" s="164"/>
    </row>
    <row r="383" spans="2:14" ht="15">
      <c r="B383" s="1"/>
      <c r="D383" s="245">
        <f>D369</f>
        <v>2008</v>
      </c>
      <c r="E383" s="245">
        <f t="shared" ref="E383:L383" si="32">E369</f>
        <v>2009</v>
      </c>
      <c r="F383" s="245">
        <f t="shared" si="32"/>
        <v>2010</v>
      </c>
      <c r="G383" s="245">
        <f t="shared" si="32"/>
        <v>2011</v>
      </c>
      <c r="H383" s="245">
        <f t="shared" si="32"/>
        <v>2012</v>
      </c>
      <c r="I383" s="245">
        <f t="shared" si="32"/>
        <v>2013</v>
      </c>
      <c r="J383" s="245">
        <f t="shared" si="32"/>
        <v>2014</v>
      </c>
      <c r="K383" s="245">
        <f t="shared" si="32"/>
        <v>2015</v>
      </c>
      <c r="L383" s="245">
        <f t="shared" si="32"/>
        <v>2016</v>
      </c>
      <c r="M383" s="53"/>
      <c r="N383" s="164"/>
    </row>
    <row r="384" spans="2:14">
      <c r="B384" s="1" t="s">
        <v>779</v>
      </c>
      <c r="D384" s="53"/>
      <c r="E384" s="53"/>
      <c r="F384" s="53"/>
      <c r="G384" s="53"/>
      <c r="H384" s="53"/>
      <c r="I384" s="53"/>
      <c r="J384" s="53"/>
      <c r="K384" s="53"/>
      <c r="L384" s="53"/>
      <c r="M384" s="53"/>
      <c r="N384" s="164"/>
    </row>
    <row r="385" spans="2:17">
      <c r="B385" s="1" t="s">
        <v>608</v>
      </c>
      <c r="D385" s="53" t="e">
        <f>D379</f>
        <v>#REF!</v>
      </c>
      <c r="E385" s="53" t="e">
        <f t="shared" ref="E385:M385" si="33">E379</f>
        <v>#REF!</v>
      </c>
      <c r="F385" s="53" t="e">
        <f t="shared" si="33"/>
        <v>#REF!</v>
      </c>
      <c r="G385" s="53" t="e">
        <f t="shared" si="33"/>
        <v>#REF!</v>
      </c>
      <c r="H385" s="53" t="e">
        <f t="shared" si="33"/>
        <v>#REF!</v>
      </c>
      <c r="I385" s="53" t="e">
        <f t="shared" si="33"/>
        <v>#REF!</v>
      </c>
      <c r="J385" s="53" t="e">
        <f t="shared" si="33"/>
        <v>#REF!</v>
      </c>
      <c r="K385" s="53" t="e">
        <f t="shared" si="33"/>
        <v>#REF!</v>
      </c>
      <c r="L385" s="53" t="e">
        <f t="shared" si="33"/>
        <v>#REF!</v>
      </c>
      <c r="M385" s="53" t="e">
        <f t="shared" si="33"/>
        <v>#REF!</v>
      </c>
      <c r="N385" s="164"/>
    </row>
    <row r="386" spans="2:17">
      <c r="B386" s="1"/>
      <c r="D386" s="53"/>
      <c r="E386" s="53"/>
      <c r="F386" s="53"/>
      <c r="G386" s="53"/>
      <c r="H386" s="53"/>
      <c r="I386" s="53"/>
      <c r="J386" s="53"/>
      <c r="K386" s="53"/>
      <c r="L386" s="53"/>
      <c r="M386" s="53"/>
      <c r="N386" s="164"/>
    </row>
    <row r="387" spans="2:17" ht="15">
      <c r="B387" s="1"/>
      <c r="D387" s="245">
        <f>D383</f>
        <v>2008</v>
      </c>
      <c r="E387" s="245">
        <f t="shared" ref="E387:L387" si="34">E383</f>
        <v>2009</v>
      </c>
      <c r="F387" s="245">
        <f t="shared" si="34"/>
        <v>2010</v>
      </c>
      <c r="G387" s="245">
        <f t="shared" si="34"/>
        <v>2011</v>
      </c>
      <c r="H387" s="245">
        <f t="shared" si="34"/>
        <v>2012</v>
      </c>
      <c r="I387" s="245">
        <f t="shared" si="34"/>
        <v>2013</v>
      </c>
      <c r="J387" s="245">
        <f t="shared" si="34"/>
        <v>2014</v>
      </c>
      <c r="K387" s="245">
        <f t="shared" si="34"/>
        <v>2015</v>
      </c>
      <c r="L387" s="245">
        <f t="shared" si="34"/>
        <v>2016</v>
      </c>
      <c r="M387" s="53"/>
      <c r="N387" s="164"/>
    </row>
    <row r="388" spans="2:17">
      <c r="B388" s="1" t="s">
        <v>667</v>
      </c>
      <c r="D388" s="53">
        <f>D374</f>
        <v>0.32383966244725726</v>
      </c>
      <c r="E388" s="53">
        <f t="shared" ref="E388:L388" si="35">E374</f>
        <v>-0.43770491803278683</v>
      </c>
      <c r="F388" s="53">
        <f t="shared" si="35"/>
        <v>0.30434782608695649</v>
      </c>
      <c r="G388" s="53">
        <f t="shared" si="35"/>
        <v>-5.5137844611528923E-2</v>
      </c>
      <c r="H388" s="53">
        <f t="shared" si="35"/>
        <v>6.5155807365439161E-2</v>
      </c>
      <c r="I388" s="53">
        <f t="shared" si="35"/>
        <v>-0.20903954802259886</v>
      </c>
      <c r="J388" s="53">
        <f t="shared" si="35"/>
        <v>0.58846153846153837</v>
      </c>
      <c r="K388" s="53">
        <f t="shared" si="35"/>
        <v>-0.14285714285714288</v>
      </c>
      <c r="L388" s="53">
        <f t="shared" si="35"/>
        <v>-0.13880126182965302</v>
      </c>
      <c r="M388" s="53"/>
      <c r="N388" s="164"/>
      <c r="O388" s="34"/>
      <c r="P388" s="34"/>
      <c r="Q388" s="34"/>
    </row>
    <row r="389" spans="2:17">
      <c r="B389" s="1"/>
      <c r="D389" s="53"/>
      <c r="E389" s="53"/>
      <c r="F389" s="53"/>
      <c r="G389" s="53"/>
      <c r="H389" s="53"/>
      <c r="I389" s="53"/>
      <c r="J389" s="53"/>
      <c r="K389" s="53"/>
      <c r="L389" s="53"/>
      <c r="M389" s="53"/>
      <c r="N389" s="164"/>
      <c r="O389" s="34"/>
      <c r="P389" s="34"/>
      <c r="Q389" s="34"/>
    </row>
    <row r="390" spans="2:17">
      <c r="B390" s="40" t="s">
        <v>834</v>
      </c>
      <c r="C390" s="28"/>
      <c r="D390" s="28"/>
      <c r="E390" s="28"/>
      <c r="F390" s="28"/>
      <c r="G390" s="40"/>
      <c r="H390" s="1"/>
      <c r="I390" s="34"/>
      <c r="J390" s="34"/>
      <c r="K390" s="34"/>
      <c r="L390" s="34"/>
    </row>
    <row r="391" spans="2:17">
      <c r="B391" s="1"/>
      <c r="G391" s="1"/>
      <c r="H391" s="1"/>
      <c r="I391" s="34"/>
      <c r="J391" s="34"/>
      <c r="K391" s="34"/>
      <c r="L391" s="34"/>
    </row>
    <row r="392" spans="2:17" ht="19.5">
      <c r="B392" s="425" t="s">
        <v>835</v>
      </c>
      <c r="G392" s="354" t="s">
        <v>836</v>
      </c>
      <c r="H392" s="355"/>
      <c r="I392" s="355"/>
      <c r="J392" s="355"/>
      <c r="K392" s="355"/>
      <c r="L392" s="34"/>
    </row>
    <row r="393" spans="2:17" ht="16.5">
      <c r="G393" s="304"/>
      <c r="H393" s="304"/>
      <c r="I393" s="356"/>
      <c r="J393" s="352"/>
      <c r="K393" s="353">
        <v>2016</v>
      </c>
    </row>
    <row r="394" spans="2:17" ht="16.5">
      <c r="G394" s="354" t="s">
        <v>837</v>
      </c>
      <c r="H394" s="355"/>
      <c r="I394" s="304"/>
      <c r="J394" s="356" t="s">
        <v>336</v>
      </c>
      <c r="K394" s="304"/>
    </row>
    <row r="395" spans="2:17" ht="16.5">
      <c r="G395" s="304" t="s">
        <v>667</v>
      </c>
      <c r="H395" s="304"/>
      <c r="I395" s="304"/>
      <c r="J395" s="304"/>
      <c r="K395" s="357" t="e">
        <f>O220</f>
        <v>#REF!</v>
      </c>
    </row>
    <row r="396" spans="2:17" ht="16.5">
      <c r="G396" s="304" t="s">
        <v>779</v>
      </c>
      <c r="H396" s="304"/>
      <c r="I396" s="304"/>
      <c r="J396" s="304"/>
      <c r="K396" s="357" t="e">
        <f>O223</f>
        <v>#REF!</v>
      </c>
    </row>
    <row r="397" spans="2:17" ht="16.5">
      <c r="G397" s="304"/>
      <c r="H397" s="304"/>
      <c r="I397" s="304"/>
      <c r="J397" s="304"/>
      <c r="K397" s="357"/>
      <c r="N397" s="6"/>
    </row>
    <row r="398" spans="2:17" ht="16.5">
      <c r="G398" s="354" t="s">
        <v>838</v>
      </c>
      <c r="H398" s="355"/>
      <c r="I398" s="304"/>
      <c r="J398" s="304"/>
      <c r="K398" s="357"/>
      <c r="N398" s="6"/>
    </row>
    <row r="399" spans="2:17" ht="16.5">
      <c r="G399" s="304" t="s">
        <v>667</v>
      </c>
      <c r="H399" s="304"/>
      <c r="I399" s="304"/>
      <c r="J399" s="304" t="s">
        <v>336</v>
      </c>
      <c r="K399" s="357">
        <f>N32</f>
        <v>0</v>
      </c>
    </row>
    <row r="400" spans="2:17" ht="16.5">
      <c r="G400" s="304" t="s">
        <v>779</v>
      </c>
      <c r="H400" s="304"/>
      <c r="I400" s="304"/>
      <c r="J400" s="304"/>
      <c r="K400" s="357">
        <f>N33</f>
        <v>0</v>
      </c>
    </row>
    <row r="401" spans="2:15" ht="16.5">
      <c r="G401" s="304"/>
      <c r="H401" s="304"/>
      <c r="I401" s="304"/>
      <c r="J401" s="304"/>
      <c r="K401" s="357"/>
    </row>
    <row r="402" spans="2:15" ht="16.5">
      <c r="G402" s="304" t="s">
        <v>839</v>
      </c>
      <c r="H402" s="304"/>
      <c r="I402" s="304"/>
      <c r="J402" s="304"/>
      <c r="K402" s="304"/>
    </row>
    <row r="403" spans="2:15" ht="16.5">
      <c r="G403" s="304" t="s">
        <v>667</v>
      </c>
      <c r="H403" s="304"/>
      <c r="I403" s="304"/>
      <c r="J403" s="304"/>
      <c r="K403" s="358" t="e">
        <f>'18 Data for Charts'!#REF!</f>
        <v>#REF!</v>
      </c>
    </row>
    <row r="404" spans="2:15" ht="16.5">
      <c r="G404" s="304" t="s">
        <v>779</v>
      </c>
      <c r="H404" s="304"/>
      <c r="I404" s="304"/>
      <c r="J404" s="304"/>
      <c r="K404" s="358">
        <f>N154</f>
        <v>0</v>
      </c>
    </row>
    <row r="405" spans="2:15" ht="16.5">
      <c r="G405" s="355"/>
      <c r="H405" s="355"/>
      <c r="I405" s="355"/>
      <c r="J405" s="355"/>
      <c r="K405" s="359"/>
    </row>
    <row r="406" spans="2:15">
      <c r="L406" s="247"/>
      <c r="M406" s="247"/>
    </row>
    <row r="407" spans="2:15">
      <c r="B407" s="40" t="s">
        <v>840</v>
      </c>
      <c r="C407" s="28"/>
      <c r="D407" s="28"/>
      <c r="E407" s="28"/>
      <c r="F407" s="28"/>
      <c r="G407" s="28"/>
    </row>
    <row r="408" spans="2:15">
      <c r="B408" s="1"/>
    </row>
    <row r="409" spans="2:15" ht="19.5">
      <c r="B409" s="425" t="s">
        <v>841</v>
      </c>
    </row>
    <row r="414" spans="2:15">
      <c r="H414" s="1"/>
      <c r="I414" s="34"/>
      <c r="J414" s="34"/>
      <c r="K414" s="34"/>
      <c r="L414" s="34"/>
      <c r="M414" s="34"/>
      <c r="N414" s="34"/>
      <c r="O414" s="34"/>
    </row>
    <row r="415" spans="2:15">
      <c r="H415" s="1"/>
      <c r="I415" s="34"/>
      <c r="J415" s="34"/>
      <c r="K415" s="34"/>
      <c r="L415" s="34"/>
      <c r="M415" s="34"/>
      <c r="N415" s="34"/>
      <c r="O415" s="34"/>
    </row>
    <row r="416" spans="2:15">
      <c r="H416" s="1"/>
      <c r="I416" s="34"/>
      <c r="J416" s="34"/>
      <c r="K416" s="34"/>
      <c r="L416" s="34"/>
      <c r="M416" s="34"/>
      <c r="N416" s="34"/>
      <c r="O416" s="34"/>
    </row>
    <row r="417" spans="2:18">
      <c r="H417" s="1"/>
      <c r="I417" s="34"/>
      <c r="J417" s="34"/>
      <c r="K417" s="34"/>
      <c r="L417" s="34"/>
      <c r="M417" s="34"/>
      <c r="N417" s="34"/>
      <c r="O417" s="34"/>
    </row>
    <row r="418" spans="2:18">
      <c r="H418" s="1"/>
      <c r="I418" s="34"/>
      <c r="J418" s="34"/>
      <c r="K418" s="34"/>
      <c r="L418" s="34"/>
      <c r="M418" s="34"/>
      <c r="N418" s="34"/>
      <c r="O418" s="34"/>
    </row>
    <row r="419" spans="2:18">
      <c r="H419" s="1"/>
      <c r="I419" s="34"/>
      <c r="J419" s="34"/>
      <c r="K419" s="34"/>
      <c r="L419" s="34"/>
      <c r="M419" s="34"/>
      <c r="N419" s="34"/>
      <c r="O419" s="34"/>
    </row>
    <row r="420" spans="2:18">
      <c r="H420" s="1"/>
      <c r="I420" s="34"/>
      <c r="J420" s="34"/>
      <c r="K420" s="34"/>
      <c r="L420" s="34"/>
      <c r="M420" s="34"/>
      <c r="N420" s="34"/>
      <c r="O420" s="34"/>
    </row>
    <row r="421" spans="2:18">
      <c r="H421" s="1"/>
      <c r="I421" s="34"/>
      <c r="J421" s="34"/>
      <c r="K421" s="34"/>
      <c r="L421" s="34"/>
      <c r="M421" s="34"/>
      <c r="N421" s="34"/>
      <c r="O421" s="34"/>
    </row>
    <row r="422" spans="2:18">
      <c r="H422" s="1"/>
      <c r="I422" s="34"/>
      <c r="J422" s="34"/>
      <c r="K422" s="34"/>
      <c r="L422" s="34"/>
      <c r="M422" s="34"/>
      <c r="N422" s="34"/>
      <c r="O422" s="34"/>
    </row>
    <row r="423" spans="2:18">
      <c r="H423" s="1"/>
      <c r="I423" s="34"/>
      <c r="J423" s="34"/>
      <c r="K423" s="34"/>
      <c r="L423" s="34"/>
      <c r="M423" s="34"/>
      <c r="N423" s="34"/>
      <c r="O423" s="34"/>
    </row>
    <row r="424" spans="2:18">
      <c r="H424" s="1"/>
      <c r="I424" s="34"/>
      <c r="J424" s="34"/>
      <c r="K424" s="34"/>
      <c r="L424" s="34"/>
      <c r="M424" s="34"/>
      <c r="N424" s="34"/>
      <c r="O424" s="34"/>
    </row>
    <row r="425" spans="2:18">
      <c r="H425" s="1"/>
      <c r="I425" s="34"/>
      <c r="J425" s="34"/>
      <c r="K425" s="34"/>
      <c r="L425" s="34"/>
      <c r="M425" s="34"/>
      <c r="N425" s="34"/>
      <c r="O425" s="34"/>
    </row>
    <row r="426" spans="2:18">
      <c r="H426" s="1"/>
      <c r="I426" s="34"/>
      <c r="J426" s="34"/>
      <c r="K426" s="34"/>
      <c r="L426" s="34"/>
      <c r="M426" s="34"/>
      <c r="N426" s="34"/>
      <c r="O426" s="369">
        <v>42790</v>
      </c>
    </row>
    <row r="427" spans="2:18">
      <c r="K427" s="34"/>
      <c r="L427" s="34"/>
    </row>
    <row r="428" spans="2:18">
      <c r="C428" s="1"/>
      <c r="D428" s="34"/>
      <c r="E428" s="34"/>
      <c r="F428" s="34"/>
      <c r="G428" s="34"/>
      <c r="H428" s="34"/>
      <c r="I428" s="34"/>
      <c r="J428" s="34"/>
      <c r="K428" s="34"/>
      <c r="L428" s="34"/>
    </row>
    <row r="429" spans="2:18" ht="13.5">
      <c r="G429" s="349"/>
      <c r="H429" s="306"/>
      <c r="I429" s="305"/>
      <c r="J429" s="305"/>
      <c r="K429" s="305"/>
      <c r="L429" s="305"/>
      <c r="M429" s="305"/>
      <c r="N429" s="305"/>
      <c r="O429" s="305"/>
      <c r="P429" s="305"/>
      <c r="Q429" s="305"/>
      <c r="R429" s="469"/>
    </row>
    <row r="431" spans="2:18" ht="16.5">
      <c r="B431" s="1" t="s">
        <v>842</v>
      </c>
      <c r="C431" s="306"/>
      <c r="D431" s="352">
        <v>2008</v>
      </c>
      <c r="E431" s="352">
        <f t="shared" ref="E431:L431" si="36">D431+1</f>
        <v>2009</v>
      </c>
      <c r="F431" s="352">
        <f t="shared" si="36"/>
        <v>2010</v>
      </c>
      <c r="G431" s="352">
        <f t="shared" si="36"/>
        <v>2011</v>
      </c>
      <c r="H431" s="352">
        <f t="shared" si="36"/>
        <v>2012</v>
      </c>
      <c r="I431" s="352">
        <f t="shared" si="36"/>
        <v>2013</v>
      </c>
      <c r="J431" s="352">
        <f t="shared" si="36"/>
        <v>2014</v>
      </c>
      <c r="K431" s="352">
        <f t="shared" si="36"/>
        <v>2015</v>
      </c>
      <c r="L431" s="352">
        <f t="shared" si="36"/>
        <v>2016</v>
      </c>
      <c r="M431" s="360">
        <v>2017</v>
      </c>
    </row>
    <row r="432" spans="2:18" ht="13.5">
      <c r="B432" s="306" t="s">
        <v>843</v>
      </c>
      <c r="C432" s="306"/>
      <c r="D432" s="361">
        <f>'18 Data for Charts'!O32</f>
        <v>0</v>
      </c>
      <c r="E432" s="361" t="e">
        <f>'18 Data for Charts'!P32</f>
        <v>#REF!</v>
      </c>
      <c r="F432" s="361" t="e">
        <f>'18 Data for Charts'!Q32</f>
        <v>#REF!</v>
      </c>
      <c r="G432" s="361" t="e">
        <f>'18 Data for Charts'!R32</f>
        <v>#REF!</v>
      </c>
      <c r="H432" s="361" t="e">
        <f>'18 Data for Charts'!S32</f>
        <v>#REF!</v>
      </c>
      <c r="I432" s="361" t="e">
        <f>'18 Data for Charts'!T32</f>
        <v>#REF!</v>
      </c>
      <c r="J432" s="361" t="e">
        <f>'18 Data for Charts'!#REF!</f>
        <v>#REF!</v>
      </c>
      <c r="K432" s="361" t="e">
        <f>'18 Data for Charts'!#REF!</f>
        <v>#REF!</v>
      </c>
      <c r="L432" s="361" t="e">
        <f>'18 Data for Charts'!#REF!</f>
        <v>#REF!</v>
      </c>
      <c r="M432" s="419"/>
    </row>
    <row r="433" spans="2:18" ht="13.5">
      <c r="B433" s="306" t="s">
        <v>590</v>
      </c>
      <c r="C433" s="306"/>
      <c r="D433" s="361">
        <f>'18 Data for Charts'!O33</f>
        <v>0</v>
      </c>
      <c r="E433" s="361" t="e">
        <f>'18 Data for Charts'!P33</f>
        <v>#REF!</v>
      </c>
      <c r="F433" s="361" t="e">
        <f>'18 Data for Charts'!Q33</f>
        <v>#REF!</v>
      </c>
      <c r="G433" s="361" t="e">
        <f>'18 Data for Charts'!R33</f>
        <v>#REF!</v>
      </c>
      <c r="H433" s="361" t="e">
        <f>'18 Data for Charts'!S33</f>
        <v>#REF!</v>
      </c>
      <c r="I433" s="361" t="e">
        <f>'18 Data for Charts'!T33</f>
        <v>#REF!</v>
      </c>
      <c r="J433" s="361" t="e">
        <f>'18 Data for Charts'!#REF!</f>
        <v>#REF!</v>
      </c>
      <c r="K433" s="361" t="e">
        <f>'18 Data for Charts'!#REF!</f>
        <v>#REF!</v>
      </c>
      <c r="L433" s="361" t="e">
        <f>'18 Data for Charts'!#REF!</f>
        <v>#REF!</v>
      </c>
      <c r="M433" s="419"/>
    </row>
    <row r="434" spans="2:18" ht="13.5">
      <c r="B434" s="306" t="s">
        <v>396</v>
      </c>
      <c r="C434" s="306"/>
      <c r="D434" s="362">
        <f>'18 Data for Charts'!O34</f>
        <v>0</v>
      </c>
      <c r="E434" s="362" t="e">
        <f>'18 Data for Charts'!P34</f>
        <v>#REF!</v>
      </c>
      <c r="F434" s="362" t="e">
        <f>'18 Data for Charts'!Q34</f>
        <v>#REF!</v>
      </c>
      <c r="G434" s="362" t="e">
        <f>'18 Data for Charts'!R34</f>
        <v>#REF!</v>
      </c>
      <c r="H434" s="362" t="e">
        <f>'18 Data for Charts'!S34</f>
        <v>#REF!</v>
      </c>
      <c r="I434" s="362" t="e">
        <f>'18 Data for Charts'!T34</f>
        <v>#REF!</v>
      </c>
      <c r="J434" s="362" t="e">
        <f>'18 Data for Charts'!#REF!</f>
        <v>#REF!</v>
      </c>
      <c r="K434" s="362" t="e">
        <f>'18 Data for Charts'!#REF!</f>
        <v>#REF!</v>
      </c>
      <c r="L434" s="362" t="e">
        <f>'18 Data for Charts'!#REF!</f>
        <v>#REF!</v>
      </c>
      <c r="M434" s="420"/>
    </row>
    <row r="435" spans="2:18" ht="13.5">
      <c r="B435" s="349" t="s">
        <v>462</v>
      </c>
      <c r="C435" s="306"/>
      <c r="D435" s="361">
        <v>1</v>
      </c>
      <c r="E435" s="361">
        <v>1</v>
      </c>
      <c r="F435" s="361">
        <v>0.99999999999999989</v>
      </c>
      <c r="G435" s="361">
        <v>1</v>
      </c>
      <c r="H435" s="361">
        <v>1</v>
      </c>
      <c r="I435" s="361">
        <v>1</v>
      </c>
      <c r="J435" s="361">
        <v>1</v>
      </c>
      <c r="K435" s="361">
        <v>1</v>
      </c>
      <c r="L435" s="361">
        <v>1</v>
      </c>
      <c r="M435" s="361">
        <v>1</v>
      </c>
      <c r="P435" s="361"/>
      <c r="Q435" s="361"/>
      <c r="R435" s="361"/>
    </row>
    <row r="436" spans="2:18" ht="13.5">
      <c r="G436" s="349"/>
      <c r="H436" s="306"/>
      <c r="I436" s="361"/>
      <c r="J436" s="361"/>
      <c r="K436" s="361"/>
      <c r="L436" s="361"/>
      <c r="M436" s="361"/>
      <c r="N436" s="361"/>
      <c r="O436" s="361"/>
      <c r="P436" s="361"/>
      <c r="Q436" s="361"/>
      <c r="R436" s="361"/>
    </row>
    <row r="437" spans="2:18">
      <c r="B437" s="40" t="s">
        <v>844</v>
      </c>
      <c r="C437" s="28"/>
      <c r="D437" s="28"/>
      <c r="E437" s="28"/>
      <c r="F437" s="28"/>
      <c r="G437" s="28"/>
      <c r="H437" s="1"/>
      <c r="I437" s="34"/>
      <c r="J437" s="34"/>
      <c r="K437" s="34"/>
      <c r="L437" s="34"/>
      <c r="M437" s="34"/>
      <c r="N437" s="34"/>
      <c r="O437" s="34"/>
    </row>
    <row r="438" spans="2:18">
      <c r="B438" s="1"/>
      <c r="H438" s="1"/>
      <c r="I438" s="34"/>
      <c r="J438" s="34"/>
      <c r="K438" s="34"/>
      <c r="L438" s="34"/>
      <c r="M438" s="34"/>
      <c r="N438" s="34"/>
      <c r="O438" s="34"/>
    </row>
    <row r="439" spans="2:18" ht="19.5">
      <c r="B439" s="425" t="s">
        <v>841</v>
      </c>
      <c r="H439" s="1"/>
      <c r="I439" s="34"/>
      <c r="J439" s="34"/>
      <c r="K439" s="34"/>
      <c r="L439" s="34"/>
      <c r="M439" s="34"/>
      <c r="N439" s="34"/>
      <c r="O439" s="34"/>
    </row>
    <row r="446" spans="2:18">
      <c r="H446" s="1"/>
      <c r="I446" s="249"/>
      <c r="J446" s="249"/>
      <c r="K446" s="249"/>
      <c r="L446" s="249"/>
      <c r="M446" s="249"/>
      <c r="N446" s="249"/>
      <c r="O446" s="249"/>
    </row>
    <row r="447" spans="2:18">
      <c r="H447" s="1"/>
      <c r="I447" s="249"/>
      <c r="J447" s="249"/>
      <c r="K447" s="249"/>
      <c r="L447" s="249"/>
      <c r="M447" s="249"/>
      <c r="N447" s="249"/>
      <c r="O447" s="249"/>
    </row>
    <row r="448" spans="2:18">
      <c r="H448" s="1"/>
      <c r="I448" s="249"/>
      <c r="J448" s="249"/>
      <c r="K448" s="249"/>
      <c r="L448" s="249"/>
      <c r="M448" s="249"/>
      <c r="N448" s="249"/>
      <c r="O448" s="249"/>
    </row>
    <row r="449" spans="2:30" ht="14.25">
      <c r="H449" s="1"/>
      <c r="I449" s="249"/>
      <c r="J449" s="249"/>
      <c r="K449" s="249"/>
      <c r="L449" s="249"/>
      <c r="M449" s="249"/>
      <c r="N449" s="249"/>
      <c r="O449" s="249"/>
      <c r="P449" s="15"/>
    </row>
    <row r="450" spans="2:30">
      <c r="H450" s="1"/>
      <c r="I450" s="249"/>
      <c r="J450" s="249"/>
      <c r="K450" s="249"/>
      <c r="L450" s="249"/>
      <c r="M450" s="249"/>
      <c r="N450" s="249"/>
      <c r="O450" s="249"/>
    </row>
    <row r="451" spans="2:30">
      <c r="H451" s="1"/>
      <c r="I451" s="249"/>
      <c r="J451" s="249"/>
      <c r="K451" s="249"/>
      <c r="L451" s="249"/>
      <c r="M451" s="249"/>
      <c r="N451" s="249"/>
      <c r="O451" s="249"/>
    </row>
    <row r="452" spans="2:30">
      <c r="H452" s="1"/>
      <c r="I452" s="249"/>
      <c r="J452" s="249"/>
      <c r="K452" s="249"/>
      <c r="L452" s="249"/>
      <c r="M452" s="249"/>
      <c r="N452" s="249"/>
      <c r="O452" s="249"/>
    </row>
    <row r="453" spans="2:30">
      <c r="H453" s="1"/>
      <c r="I453" s="249"/>
      <c r="J453" s="249"/>
      <c r="K453" s="249"/>
      <c r="L453" s="249"/>
      <c r="M453" s="249"/>
      <c r="N453" s="249"/>
      <c r="O453" s="369">
        <v>42790</v>
      </c>
    </row>
    <row r="454" spans="2:30">
      <c r="H454" s="1"/>
      <c r="I454" s="249"/>
      <c r="J454" s="249"/>
      <c r="K454" s="249"/>
      <c r="L454" s="249"/>
      <c r="M454" s="249"/>
      <c r="N454" s="249"/>
      <c r="O454" s="249"/>
    </row>
    <row r="455" spans="2:30">
      <c r="H455" s="1"/>
      <c r="I455" s="249"/>
      <c r="J455" s="249"/>
      <c r="K455" s="249"/>
      <c r="L455" s="249"/>
      <c r="M455" s="249"/>
      <c r="N455" s="249"/>
      <c r="O455" s="249"/>
    </row>
    <row r="456" spans="2:30">
      <c r="H456" s="1"/>
      <c r="I456" s="249"/>
      <c r="J456" s="249"/>
      <c r="K456" s="249"/>
      <c r="L456" s="249"/>
      <c r="M456" s="249"/>
      <c r="N456" s="249"/>
      <c r="O456" s="249"/>
    </row>
    <row r="457" spans="2:30" ht="13.5">
      <c r="G457" s="349"/>
      <c r="H457" s="306"/>
      <c r="I457" s="305"/>
      <c r="J457" s="305"/>
      <c r="K457" s="305"/>
      <c r="L457" s="305"/>
      <c r="M457" s="305"/>
      <c r="N457" s="305"/>
      <c r="O457" s="305"/>
      <c r="P457" s="305"/>
      <c r="Q457" s="305"/>
      <c r="R457" s="469"/>
    </row>
    <row r="458" spans="2:30" ht="16.5">
      <c r="B458" s="1" t="s">
        <v>845</v>
      </c>
      <c r="C458" s="306"/>
      <c r="D458" s="352">
        <v>2008</v>
      </c>
      <c r="E458" s="352">
        <f t="shared" ref="E458:L458" si="37">D458+1</f>
        <v>2009</v>
      </c>
      <c r="F458" s="352">
        <f t="shared" si="37"/>
        <v>2010</v>
      </c>
      <c r="G458" s="352">
        <f t="shared" si="37"/>
        <v>2011</v>
      </c>
      <c r="H458" s="352">
        <f t="shared" si="37"/>
        <v>2012</v>
      </c>
      <c r="I458" s="352">
        <f t="shared" si="37"/>
        <v>2013</v>
      </c>
      <c r="J458" s="352">
        <f t="shared" si="37"/>
        <v>2014</v>
      </c>
      <c r="K458" s="352">
        <f t="shared" si="37"/>
        <v>2015</v>
      </c>
      <c r="L458" s="352">
        <f t="shared" si="37"/>
        <v>2016</v>
      </c>
      <c r="M458" s="363">
        <v>2017</v>
      </c>
    </row>
    <row r="459" spans="2:30" ht="13.5">
      <c r="B459" s="306" t="s">
        <v>843</v>
      </c>
      <c r="C459" s="306"/>
      <c r="D459" s="361" t="e">
        <f>'Mark-Expect'!#REF!</f>
        <v>#REF!</v>
      </c>
      <c r="E459" s="361" t="e">
        <f>'Mark-Expect'!#REF!</f>
        <v>#REF!</v>
      </c>
      <c r="F459" s="361" t="e">
        <f>'Mark-Expect'!#REF!</f>
        <v>#REF!</v>
      </c>
      <c r="G459" s="361">
        <f>'Mark-Expect'!N43</f>
        <v>0</v>
      </c>
      <c r="H459" s="361">
        <f>'Mark-Expect'!O43</f>
        <v>0</v>
      </c>
      <c r="I459" s="361" t="e">
        <f>'Mark-Expect'!P43</f>
        <v>#REF!</v>
      </c>
      <c r="J459" s="361" t="e">
        <f>'Mark-Expect'!Q43</f>
        <v>#REF!</v>
      </c>
      <c r="K459" s="361" t="e">
        <f>'Mark-Expect'!R43</f>
        <v>#REF!</v>
      </c>
      <c r="L459" s="361" t="e">
        <f>'Mark-Expect'!S43</f>
        <v>#REF!</v>
      </c>
      <c r="M459" s="419" t="e">
        <f>'Mark-Expect'!#REF!</f>
        <v>#REF!</v>
      </c>
    </row>
    <row r="460" spans="2:30" ht="13.5">
      <c r="B460" s="306" t="s">
        <v>590</v>
      </c>
      <c r="C460" s="306"/>
      <c r="D460" s="361" t="e">
        <f>'Mark-Expect'!#REF!</f>
        <v>#REF!</v>
      </c>
      <c r="E460" s="361" t="e">
        <f>'Mark-Expect'!#REF!</f>
        <v>#REF!</v>
      </c>
      <c r="F460" s="361" t="e">
        <f>'Mark-Expect'!#REF!</f>
        <v>#REF!</v>
      </c>
      <c r="G460" s="361">
        <f>'Mark-Expect'!N44</f>
        <v>0</v>
      </c>
      <c r="H460" s="361">
        <f>'Mark-Expect'!O44</f>
        <v>0</v>
      </c>
      <c r="I460" s="361" t="e">
        <f>'Mark-Expect'!P44</f>
        <v>#REF!</v>
      </c>
      <c r="J460" s="361" t="e">
        <f>'Mark-Expect'!Q44</f>
        <v>#REF!</v>
      </c>
      <c r="K460" s="361" t="e">
        <f>'Mark-Expect'!R44</f>
        <v>#REF!</v>
      </c>
      <c r="L460" s="361" t="e">
        <f>'Mark-Expect'!S44</f>
        <v>#REF!</v>
      </c>
      <c r="M460" s="419" t="e">
        <f>'Mark-Expect'!#REF!</f>
        <v>#REF!</v>
      </c>
    </row>
    <row r="461" spans="2:30" ht="13.5">
      <c r="B461" s="306" t="s">
        <v>396</v>
      </c>
      <c r="C461" s="306"/>
      <c r="D461" s="362" t="e">
        <f>'Mark-Expect'!#REF!</f>
        <v>#REF!</v>
      </c>
      <c r="E461" s="362" t="e">
        <f>'Mark-Expect'!#REF!</f>
        <v>#REF!</v>
      </c>
      <c r="F461" s="362" t="e">
        <f>'Mark-Expect'!#REF!</f>
        <v>#REF!</v>
      </c>
      <c r="G461" s="362">
        <f>'Mark-Expect'!N45</f>
        <v>0</v>
      </c>
      <c r="H461" s="362">
        <f>'Mark-Expect'!O45</f>
        <v>0</v>
      </c>
      <c r="I461" s="362" t="e">
        <f>'Mark-Expect'!P45</f>
        <v>#REF!</v>
      </c>
      <c r="J461" s="362" t="e">
        <f>'Mark-Expect'!Q45</f>
        <v>#REF!</v>
      </c>
      <c r="K461" s="362" t="e">
        <f>'Mark-Expect'!R45</f>
        <v>#REF!</v>
      </c>
      <c r="L461" s="362" t="e">
        <f>'Mark-Expect'!S45</f>
        <v>#REF!</v>
      </c>
      <c r="M461" s="420" t="e">
        <f>'Mark-Expect'!#REF!</f>
        <v>#REF!</v>
      </c>
    </row>
    <row r="462" spans="2:30" ht="13.5">
      <c r="B462" s="349" t="s">
        <v>462</v>
      </c>
      <c r="C462" s="306"/>
      <c r="D462" s="361" t="e">
        <f>SUM(D459:D461)</f>
        <v>#REF!</v>
      </c>
      <c r="E462" s="361" t="e">
        <f t="shared" ref="E462:M462" si="38">SUM(E459:E461)</f>
        <v>#REF!</v>
      </c>
      <c r="F462" s="361" t="e">
        <f t="shared" si="38"/>
        <v>#REF!</v>
      </c>
      <c r="G462" s="361">
        <f t="shared" si="38"/>
        <v>0</v>
      </c>
      <c r="H462" s="361">
        <f t="shared" si="38"/>
        <v>0</v>
      </c>
      <c r="I462" s="361" t="e">
        <f t="shared" si="38"/>
        <v>#REF!</v>
      </c>
      <c r="J462" s="361" t="e">
        <f t="shared" si="38"/>
        <v>#REF!</v>
      </c>
      <c r="K462" s="361" t="e">
        <f t="shared" si="38"/>
        <v>#REF!</v>
      </c>
      <c r="L462" s="361" t="e">
        <f t="shared" si="38"/>
        <v>#REF!</v>
      </c>
      <c r="M462" s="419" t="e">
        <f t="shared" si="38"/>
        <v>#REF!</v>
      </c>
    </row>
    <row r="463" spans="2:30">
      <c r="B463" s="1"/>
      <c r="D463" s="249"/>
      <c r="E463" s="249"/>
      <c r="F463" s="249"/>
      <c r="G463" s="249"/>
      <c r="H463" s="249"/>
      <c r="I463" s="249"/>
      <c r="J463" s="249"/>
      <c r="K463" s="249"/>
      <c r="L463" s="249"/>
      <c r="M463" s="249"/>
    </row>
    <row r="464" spans="2:30">
      <c r="B464" s="40" t="s">
        <v>846</v>
      </c>
      <c r="C464" s="28"/>
      <c r="D464" s="28"/>
      <c r="E464" s="28"/>
      <c r="F464" s="28"/>
      <c r="G464" s="28"/>
      <c r="W464" s="1"/>
      <c r="Y464" s="249"/>
      <c r="Z464" s="249"/>
      <c r="AA464" s="249"/>
      <c r="AD464" s="287"/>
    </row>
    <row r="465" spans="2:35">
      <c r="B465" s="1"/>
      <c r="W465" s="1"/>
      <c r="Y465" s="249"/>
      <c r="Z465" s="249"/>
      <c r="AA465" s="249"/>
      <c r="AD465" s="287"/>
    </row>
    <row r="466" spans="2:35" ht="19.5">
      <c r="B466" s="425" t="s">
        <v>847</v>
      </c>
      <c r="W466" s="1"/>
      <c r="Y466" s="249"/>
      <c r="Z466" s="249"/>
      <c r="AA466" s="249"/>
      <c r="AD466" s="287"/>
    </row>
    <row r="467" spans="2:35">
      <c r="W467" s="1"/>
      <c r="Y467" s="249"/>
      <c r="Z467" s="249"/>
      <c r="AA467" s="249"/>
      <c r="AD467" s="287"/>
    </row>
    <row r="468" spans="2:35" ht="15">
      <c r="B468" s="400" t="s">
        <v>848</v>
      </c>
      <c r="C468" s="83"/>
      <c r="D468" s="83"/>
      <c r="E468" s="83"/>
      <c r="F468" s="401"/>
      <c r="G468" s="402"/>
      <c r="I468" s="400" t="s">
        <v>848</v>
      </c>
      <c r="J468" s="83"/>
      <c r="K468" s="83"/>
      <c r="L468" s="83"/>
      <c r="M468" s="83"/>
      <c r="N468" s="83"/>
    </row>
    <row r="469" spans="2:35">
      <c r="B469" s="92"/>
      <c r="C469" s="83"/>
      <c r="D469" s="83"/>
      <c r="E469" s="83"/>
      <c r="F469" s="401"/>
      <c r="G469" s="402"/>
      <c r="I469" s="83"/>
      <c r="J469" s="83"/>
      <c r="K469" s="83"/>
      <c r="L469" s="83"/>
      <c r="M469" s="83"/>
      <c r="N469" s="83"/>
      <c r="X469" s="249"/>
      <c r="Y469" s="249"/>
      <c r="Z469" s="249"/>
      <c r="AA469" s="249"/>
      <c r="AD469" s="249"/>
      <c r="AE469" s="249"/>
      <c r="AF469" s="249"/>
      <c r="AG469" s="249"/>
      <c r="AH469" s="249"/>
      <c r="AI469" s="249"/>
    </row>
    <row r="470" spans="2:35" ht="15">
      <c r="B470" s="403"/>
      <c r="C470" s="403"/>
      <c r="D470" s="403"/>
      <c r="E470" s="404">
        <v>2015</v>
      </c>
      <c r="F470" s="404">
        <f>E470+1</f>
        <v>2016</v>
      </c>
      <c r="G470" s="405">
        <f>F470+1</f>
        <v>2017</v>
      </c>
      <c r="I470" s="92"/>
      <c r="J470" s="83"/>
      <c r="K470" s="83"/>
      <c r="L470" s="404">
        <v>2015</v>
      </c>
      <c r="M470" s="404">
        <f>L470+1</f>
        <v>2016</v>
      </c>
      <c r="N470" s="405">
        <f>M470+1</f>
        <v>2017</v>
      </c>
      <c r="X470" s="249"/>
      <c r="Y470" s="249"/>
      <c r="Z470" s="249"/>
      <c r="AA470" s="249"/>
      <c r="AD470" s="249"/>
      <c r="AE470" s="249"/>
      <c r="AF470" s="249"/>
      <c r="AG470" s="249"/>
      <c r="AH470" s="249"/>
      <c r="AI470" s="249"/>
    </row>
    <row r="471" spans="2:35" ht="13.5">
      <c r="B471" s="83"/>
      <c r="C471" s="92"/>
      <c r="D471" s="406" t="s">
        <v>43</v>
      </c>
      <c r="E471" s="83"/>
      <c r="F471" s="83"/>
      <c r="G471" s="421">
        <f>'X-Chart Basics'!D24</f>
        <v>42790</v>
      </c>
      <c r="I471" s="92"/>
      <c r="J471" s="83"/>
      <c r="K471" s="406" t="s">
        <v>43</v>
      </c>
      <c r="L471" s="83"/>
      <c r="M471" s="401"/>
      <c r="N471" s="421">
        <f>'X-Chart Basics'!D24</f>
        <v>42790</v>
      </c>
      <c r="X471" s="249"/>
      <c r="Y471" s="249"/>
      <c r="Z471" s="249"/>
      <c r="AA471" s="249"/>
      <c r="AD471" s="249"/>
      <c r="AE471" s="249"/>
      <c r="AF471" s="249"/>
      <c r="AG471" s="249"/>
      <c r="AH471" s="249"/>
      <c r="AI471" s="249"/>
    </row>
    <row r="472" spans="2:35">
      <c r="B472" s="407" t="s">
        <v>667</v>
      </c>
      <c r="C472" s="408"/>
      <c r="D472" s="406"/>
      <c r="E472" s="83"/>
      <c r="F472" s="83"/>
      <c r="G472" s="409" t="s">
        <v>812</v>
      </c>
      <c r="I472" s="415" t="s">
        <v>666</v>
      </c>
      <c r="J472" s="416"/>
      <c r="K472" s="83"/>
      <c r="L472" s="83"/>
      <c r="M472" s="83"/>
      <c r="N472" s="409" t="s">
        <v>812</v>
      </c>
      <c r="X472" s="249"/>
      <c r="Y472" s="249"/>
      <c r="Z472" s="249"/>
      <c r="AA472" s="249"/>
      <c r="AD472" s="249"/>
      <c r="AE472" s="249"/>
      <c r="AF472" s="249"/>
      <c r="AG472" s="249"/>
      <c r="AH472" s="249"/>
      <c r="AI472" s="249"/>
    </row>
    <row r="473" spans="2:35">
      <c r="B473" s="83" t="s">
        <v>462</v>
      </c>
      <c r="C473" s="92"/>
      <c r="D473" s="83"/>
      <c r="E473" s="410" t="e">
        <f t="shared" ref="E473:G475" si="39">K252</f>
        <v>#REF!</v>
      </c>
      <c r="F473" s="410" t="e">
        <f t="shared" si="39"/>
        <v>#REF!</v>
      </c>
      <c r="G473" s="411">
        <f t="shared" si="39"/>
        <v>1869.4580000000001</v>
      </c>
      <c r="I473" s="417" t="s">
        <v>462</v>
      </c>
      <c r="J473" s="83"/>
      <c r="K473" s="83"/>
      <c r="L473" s="410" t="e">
        <f t="shared" ref="L473:N475" si="40">K257</f>
        <v>#REF!</v>
      </c>
      <c r="M473" s="410" t="e">
        <f t="shared" si="40"/>
        <v>#REF!</v>
      </c>
      <c r="N473" s="418" t="e">
        <f t="shared" si="40"/>
        <v>#REF!</v>
      </c>
      <c r="X473" s="249"/>
      <c r="Y473" s="249"/>
      <c r="Z473" s="249"/>
      <c r="AA473" s="249"/>
      <c r="AD473" s="249"/>
      <c r="AE473" s="249"/>
      <c r="AF473" s="249"/>
      <c r="AG473" s="249"/>
      <c r="AH473" s="249"/>
      <c r="AI473" s="249"/>
    </row>
    <row r="474" spans="2:35">
      <c r="B474" s="83" t="s">
        <v>396</v>
      </c>
      <c r="C474" s="83"/>
      <c r="D474" s="83"/>
      <c r="E474" s="412" t="e">
        <f t="shared" si="39"/>
        <v>#REF!</v>
      </c>
      <c r="F474" s="412" t="e">
        <f t="shared" si="39"/>
        <v>#REF!</v>
      </c>
      <c r="G474" s="364" t="e">
        <f t="shared" si="39"/>
        <v>#REF!</v>
      </c>
      <c r="I474" s="417" t="s">
        <v>396</v>
      </c>
      <c r="J474" s="83"/>
      <c r="K474" s="83"/>
      <c r="L474" s="412" t="e">
        <f t="shared" si="40"/>
        <v>#REF!</v>
      </c>
      <c r="M474" s="412" t="e">
        <f t="shared" si="40"/>
        <v>#REF!</v>
      </c>
      <c r="N474" s="366" t="e">
        <f t="shared" si="40"/>
        <v>#REF!</v>
      </c>
      <c r="X474" s="249"/>
      <c r="Y474" s="249"/>
      <c r="Z474" s="249"/>
      <c r="AA474" s="249"/>
      <c r="AD474" s="249"/>
      <c r="AE474" s="249"/>
      <c r="AF474" s="249"/>
      <c r="AG474" s="249"/>
      <c r="AH474" s="249"/>
      <c r="AI474" s="249"/>
    </row>
    <row r="475" spans="2:35">
      <c r="B475" s="83" t="s">
        <v>579</v>
      </c>
      <c r="C475" s="83"/>
      <c r="D475" s="83"/>
      <c r="E475" s="410" t="e">
        <f t="shared" si="39"/>
        <v>#REF!</v>
      </c>
      <c r="F475" s="410" t="e">
        <f t="shared" si="39"/>
        <v>#REF!</v>
      </c>
      <c r="G475" s="365" t="e">
        <f t="shared" si="39"/>
        <v>#REF!</v>
      </c>
      <c r="I475" s="417" t="s">
        <v>579</v>
      </c>
      <c r="J475" s="83"/>
      <c r="K475" s="83"/>
      <c r="L475" s="410" t="e">
        <f t="shared" si="40"/>
        <v>#REF!</v>
      </c>
      <c r="M475" s="410" t="e">
        <f t="shared" si="40"/>
        <v>#REF!</v>
      </c>
      <c r="N475" s="418" t="e">
        <f t="shared" si="40"/>
        <v>#REF!</v>
      </c>
      <c r="X475" s="249"/>
      <c r="Y475" s="249"/>
      <c r="Z475" s="249"/>
      <c r="AA475" s="249"/>
      <c r="AD475" s="249"/>
      <c r="AE475" s="249"/>
      <c r="AF475" s="249"/>
      <c r="AG475" s="249"/>
      <c r="AH475" s="249"/>
      <c r="AI475" s="249"/>
    </row>
    <row r="476" spans="2:35" ht="16.5">
      <c r="B476" s="92"/>
      <c r="C476" s="83"/>
      <c r="D476" s="83"/>
      <c r="E476" s="410"/>
      <c r="F476" s="410"/>
      <c r="G476" s="413"/>
      <c r="I476" s="414"/>
      <c r="J476" s="83"/>
      <c r="K476" s="83"/>
      <c r="L476" s="298"/>
      <c r="M476" s="298"/>
      <c r="N476" s="298"/>
      <c r="X476" s="249"/>
      <c r="Y476" s="249"/>
      <c r="Z476" s="249"/>
      <c r="AA476" s="249"/>
      <c r="AD476" s="249"/>
      <c r="AE476" s="249"/>
      <c r="AF476" s="249"/>
      <c r="AG476" s="249"/>
      <c r="AH476" s="249"/>
      <c r="AI476" s="249"/>
    </row>
    <row r="477" spans="2:35">
      <c r="B477" s="92" t="s">
        <v>849</v>
      </c>
      <c r="C477" s="83"/>
      <c r="D477" s="83"/>
      <c r="E477" s="399" t="e">
        <f>E475/E474</f>
        <v>#REF!</v>
      </c>
      <c r="F477" s="399" t="e">
        <f>F475/F474</f>
        <v>#REF!</v>
      </c>
      <c r="G477" s="399" t="e">
        <f>G475/G474</f>
        <v>#REF!</v>
      </c>
      <c r="I477" s="414" t="s">
        <v>849</v>
      </c>
      <c r="J477" s="83"/>
      <c r="K477" s="83"/>
      <c r="L477" s="399" t="e">
        <f>L475/L474</f>
        <v>#REF!</v>
      </c>
      <c r="M477" s="399" t="e">
        <f>M475/M474</f>
        <v>#REF!</v>
      </c>
      <c r="N477" s="399" t="e">
        <f>N475/N474</f>
        <v>#REF!</v>
      </c>
      <c r="AD477" s="249"/>
      <c r="AE477" s="249"/>
      <c r="AF477" s="249"/>
      <c r="AG477" s="249"/>
      <c r="AH477" s="249"/>
      <c r="AI477" s="249"/>
    </row>
    <row r="478" spans="2:35">
      <c r="B478" s="92"/>
      <c r="C478" s="83"/>
      <c r="D478" s="83"/>
      <c r="E478" s="399"/>
      <c r="F478" s="399"/>
      <c r="G478" s="399"/>
      <c r="I478" s="414"/>
      <c r="J478" s="83"/>
      <c r="K478" s="83"/>
      <c r="L478" s="399"/>
      <c r="M478" s="399"/>
      <c r="N478" s="399"/>
      <c r="AD478" s="249"/>
      <c r="AE478" s="249"/>
      <c r="AF478" s="249"/>
      <c r="AG478" s="249"/>
      <c r="AH478" s="249"/>
      <c r="AI478" s="249"/>
    </row>
    <row r="479" spans="2:35">
      <c r="B479" s="414" t="s">
        <v>850</v>
      </c>
      <c r="C479" s="83"/>
      <c r="D479" s="83"/>
      <c r="E479" s="399" t="e">
        <f>'18 Data for Charts'!#REF!</f>
        <v>#REF!</v>
      </c>
      <c r="F479" s="399" t="e">
        <f>'18 Data for Charts'!#REF!</f>
        <v>#REF!</v>
      </c>
      <c r="G479" s="399"/>
      <c r="I479" s="414" t="s">
        <v>850</v>
      </c>
      <c r="J479" s="83"/>
      <c r="K479" s="83"/>
      <c r="L479" s="399" t="e">
        <f>'Econ-Perf 2'!#REF!</f>
        <v>#REF!</v>
      </c>
      <c r="M479" s="399" t="e">
        <f>'Econ-Perf 2'!#REF!</f>
        <v>#REF!</v>
      </c>
      <c r="N479" s="399">
        <f>'Econ-Perf 2'!U88</f>
        <v>0</v>
      </c>
      <c r="Q479" s="470"/>
      <c r="R479" s="470"/>
      <c r="S479" s="470"/>
      <c r="AD479" s="249"/>
      <c r="AE479" s="249"/>
      <c r="AF479" s="249"/>
      <c r="AG479" s="249"/>
      <c r="AH479" s="249"/>
      <c r="AI479" s="249"/>
    </row>
    <row r="480" spans="2:35">
      <c r="B480" s="414"/>
      <c r="C480" s="83"/>
      <c r="D480" s="83"/>
      <c r="E480" s="399"/>
      <c r="F480" s="399"/>
      <c r="G480" s="399"/>
      <c r="I480" s="414"/>
      <c r="J480" s="83"/>
      <c r="K480" s="83"/>
      <c r="L480" s="399"/>
      <c r="M480" s="399"/>
      <c r="N480" s="399"/>
      <c r="Q480" s="470"/>
      <c r="R480" s="470"/>
      <c r="S480" s="470"/>
      <c r="AD480" s="249"/>
      <c r="AE480" s="249"/>
      <c r="AF480" s="249"/>
      <c r="AG480" s="249"/>
      <c r="AH480" s="249"/>
      <c r="AI480" s="249"/>
    </row>
    <row r="481" spans="2:35">
      <c r="L481" s="186"/>
      <c r="S481" s="82"/>
      <c r="AD481" s="249"/>
      <c r="AE481" s="249"/>
      <c r="AF481" s="249"/>
      <c r="AG481" s="249"/>
      <c r="AH481" s="249"/>
      <c r="AI481" s="249"/>
    </row>
    <row r="482" spans="2:35">
      <c r="B482" s="40" t="s">
        <v>851</v>
      </c>
      <c r="C482" s="28"/>
      <c r="D482" s="28"/>
      <c r="E482" s="28"/>
      <c r="F482" s="28"/>
      <c r="G482" s="28"/>
      <c r="L482" s="186"/>
      <c r="S482" s="82"/>
      <c r="AD482" s="249"/>
      <c r="AE482" s="249"/>
      <c r="AF482" s="249"/>
      <c r="AG482" s="249"/>
      <c r="AH482" s="249"/>
      <c r="AI482" s="249"/>
    </row>
    <row r="483" spans="2:35">
      <c r="B483" s="1"/>
      <c r="L483" s="186"/>
      <c r="S483" s="82"/>
      <c r="AD483" s="249"/>
      <c r="AE483" s="249"/>
      <c r="AF483" s="249"/>
      <c r="AG483" s="249"/>
      <c r="AH483" s="249"/>
      <c r="AI483" s="249"/>
    </row>
    <row r="484" spans="2:35" ht="19.5">
      <c r="B484" s="425" t="s">
        <v>852</v>
      </c>
      <c r="L484" s="186"/>
      <c r="S484" s="82"/>
      <c r="AD484" s="249"/>
      <c r="AE484" s="249"/>
      <c r="AF484" s="249"/>
      <c r="AG484" s="249"/>
      <c r="AH484" s="249"/>
      <c r="AI484" s="249"/>
    </row>
    <row r="485" spans="2:35">
      <c r="L485" s="186"/>
      <c r="S485" s="82"/>
      <c r="AD485" s="249"/>
      <c r="AE485" s="249"/>
      <c r="AF485" s="249"/>
      <c r="AG485" s="249"/>
      <c r="AH485" s="249"/>
      <c r="AI485" s="249"/>
    </row>
    <row r="486" spans="2:35">
      <c r="L486" s="186"/>
      <c r="S486" s="82"/>
      <c r="AD486" s="249"/>
      <c r="AE486" s="249"/>
      <c r="AF486" s="249"/>
      <c r="AG486" s="249"/>
      <c r="AH486" s="249"/>
      <c r="AI486" s="249"/>
    </row>
    <row r="487" spans="2:35">
      <c r="L487" s="186"/>
      <c r="S487" s="82"/>
      <c r="AD487" s="249"/>
      <c r="AE487" s="249"/>
      <c r="AF487" s="249"/>
      <c r="AG487" s="249"/>
      <c r="AH487" s="249"/>
      <c r="AI487" s="249"/>
    </row>
    <row r="488" spans="2:35">
      <c r="L488" s="186"/>
      <c r="S488" s="82"/>
      <c r="AD488" s="249"/>
      <c r="AE488" s="249"/>
      <c r="AF488" s="249"/>
      <c r="AG488" s="249"/>
      <c r="AH488" s="249"/>
      <c r="AI488" s="249"/>
    </row>
    <row r="489" spans="2:35">
      <c r="L489" s="186"/>
      <c r="S489" s="82"/>
      <c r="AD489" s="249"/>
      <c r="AE489" s="249"/>
      <c r="AF489" s="249"/>
      <c r="AG489" s="249"/>
      <c r="AH489" s="249"/>
      <c r="AI489" s="249"/>
    </row>
    <row r="490" spans="2:35">
      <c r="L490" s="186"/>
      <c r="S490" s="82"/>
      <c r="AD490" s="249"/>
      <c r="AE490" s="249"/>
      <c r="AF490" s="249"/>
      <c r="AG490" s="249"/>
      <c r="AH490" s="249"/>
      <c r="AI490" s="249"/>
    </row>
    <row r="491" spans="2:35">
      <c r="L491" s="186"/>
      <c r="S491" s="82"/>
      <c r="AD491" s="249"/>
      <c r="AE491" s="249"/>
      <c r="AF491" s="249"/>
      <c r="AG491" s="249"/>
      <c r="AH491" s="249"/>
      <c r="AI491" s="249"/>
    </row>
    <row r="492" spans="2:35">
      <c r="L492" s="186"/>
      <c r="S492" s="82"/>
      <c r="AD492" s="249"/>
      <c r="AE492" s="249"/>
      <c r="AF492" s="249"/>
      <c r="AG492" s="249"/>
      <c r="AH492" s="249"/>
      <c r="AI492" s="249"/>
    </row>
    <row r="493" spans="2:35">
      <c r="L493" s="186"/>
      <c r="S493" s="82"/>
      <c r="AD493" s="249"/>
      <c r="AE493" s="249"/>
      <c r="AF493" s="249"/>
      <c r="AG493" s="249"/>
      <c r="AH493" s="249"/>
      <c r="AI493" s="249"/>
    </row>
    <row r="494" spans="2:35">
      <c r="L494" s="186"/>
      <c r="S494" s="82"/>
      <c r="AD494" s="249"/>
      <c r="AE494" s="249"/>
      <c r="AF494" s="249"/>
      <c r="AG494" s="249"/>
      <c r="AH494" s="249"/>
      <c r="AI494" s="249"/>
    </row>
    <row r="495" spans="2:35">
      <c r="L495" s="186"/>
      <c r="S495" s="82"/>
      <c r="AD495" s="249"/>
      <c r="AE495" s="249"/>
      <c r="AF495" s="249"/>
      <c r="AG495" s="249"/>
      <c r="AH495" s="249"/>
      <c r="AI495" s="249"/>
    </row>
    <row r="496" spans="2:35">
      <c r="L496" s="186"/>
      <c r="S496" s="82"/>
      <c r="AD496" s="249"/>
      <c r="AE496" s="249"/>
      <c r="AF496" s="249"/>
      <c r="AG496" s="249"/>
      <c r="AH496" s="249"/>
      <c r="AI496" s="249"/>
    </row>
    <row r="497" spans="2:35">
      <c r="L497" s="186"/>
      <c r="S497" s="82"/>
      <c r="AD497" s="249"/>
      <c r="AE497" s="249"/>
      <c r="AF497" s="249"/>
      <c r="AG497" s="249"/>
      <c r="AH497" s="249"/>
      <c r="AI497" s="249"/>
    </row>
    <row r="498" spans="2:35">
      <c r="L498" s="186"/>
      <c r="S498" s="82"/>
      <c r="AD498" s="249"/>
      <c r="AE498" s="249"/>
      <c r="AF498" s="249"/>
      <c r="AG498" s="249"/>
      <c r="AH498" s="249"/>
      <c r="AI498" s="249"/>
    </row>
    <row r="499" spans="2:35">
      <c r="L499" s="186"/>
      <c r="S499" s="82"/>
      <c r="AD499" s="249"/>
      <c r="AE499" s="249"/>
      <c r="AF499" s="249"/>
      <c r="AG499" s="249"/>
      <c r="AH499" s="249"/>
      <c r="AI499" s="249"/>
    </row>
    <row r="500" spans="2:35">
      <c r="L500" s="186"/>
      <c r="S500" s="82"/>
      <c r="AD500" s="249"/>
      <c r="AE500" s="249"/>
      <c r="AF500" s="249"/>
      <c r="AG500" s="249"/>
      <c r="AH500" s="249"/>
      <c r="AI500" s="249"/>
    </row>
    <row r="501" spans="2:35">
      <c r="L501" s="186"/>
      <c r="S501" s="82"/>
      <c r="AD501" s="249"/>
      <c r="AE501" s="249"/>
      <c r="AF501" s="249"/>
      <c r="AG501" s="249"/>
      <c r="AH501" s="249"/>
      <c r="AI501" s="249"/>
    </row>
    <row r="502" spans="2:35">
      <c r="L502" s="186"/>
      <c r="S502" s="82"/>
      <c r="AD502" s="249"/>
      <c r="AE502" s="249"/>
      <c r="AF502" s="249"/>
      <c r="AG502" s="249"/>
      <c r="AH502" s="249"/>
      <c r="AI502" s="249"/>
    </row>
    <row r="503" spans="2:35">
      <c r="L503" s="186"/>
      <c r="S503" s="82"/>
      <c r="AD503" s="249"/>
      <c r="AE503" s="249"/>
      <c r="AF503" s="249"/>
      <c r="AG503" s="249"/>
      <c r="AH503" s="249"/>
      <c r="AI503" s="249"/>
    </row>
    <row r="504" spans="2:35">
      <c r="B504" s="13" t="s">
        <v>853</v>
      </c>
      <c r="C504" s="4"/>
      <c r="D504" s="4"/>
      <c r="E504" s="4"/>
      <c r="F504" s="4"/>
      <c r="G504" s="4"/>
      <c r="H504" s="4"/>
      <c r="I504" s="4"/>
      <c r="J504" s="4"/>
      <c r="K504" s="4"/>
      <c r="L504" s="434"/>
      <c r="M504" s="4"/>
      <c r="S504" s="82"/>
      <c r="AD504" s="249"/>
      <c r="AE504" s="249"/>
      <c r="AF504" s="249"/>
      <c r="AG504" s="249"/>
      <c r="AH504" s="249"/>
      <c r="AI504" s="249"/>
    </row>
    <row r="505" spans="2:35" ht="13.5">
      <c r="B505" s="280"/>
      <c r="C505" s="25"/>
      <c r="D505" s="25"/>
      <c r="E505" s="25"/>
      <c r="F505" s="25"/>
      <c r="G505" s="25"/>
      <c r="H505" s="25"/>
      <c r="I505" s="25"/>
      <c r="J505" s="25"/>
      <c r="K505" s="25"/>
      <c r="L505" s="435"/>
      <c r="M505" s="395">
        <f>'X-Chart Basics'!D24</f>
        <v>42790</v>
      </c>
      <c r="S505" s="82"/>
      <c r="AD505" s="249"/>
      <c r="AE505" s="249"/>
      <c r="AF505" s="249"/>
      <c r="AG505" s="249"/>
      <c r="AH505" s="249"/>
      <c r="AI505" s="249"/>
    </row>
    <row r="506" spans="2:35" ht="15">
      <c r="B506" s="243"/>
      <c r="C506" s="377" t="s">
        <v>336</v>
      </c>
      <c r="D506" s="245">
        <v>2008</v>
      </c>
      <c r="E506" s="245">
        <f t="shared" ref="E506:L506" si="41">D506+1</f>
        <v>2009</v>
      </c>
      <c r="F506" s="245">
        <f t="shared" si="41"/>
        <v>2010</v>
      </c>
      <c r="G506" s="245">
        <f t="shared" si="41"/>
        <v>2011</v>
      </c>
      <c r="H506" s="245">
        <f t="shared" si="41"/>
        <v>2012</v>
      </c>
      <c r="I506" s="245">
        <f t="shared" si="41"/>
        <v>2013</v>
      </c>
      <c r="J506" s="245">
        <f t="shared" si="41"/>
        <v>2014</v>
      </c>
      <c r="K506" s="245">
        <f t="shared" si="41"/>
        <v>2015</v>
      </c>
      <c r="L506" s="245">
        <f t="shared" si="41"/>
        <v>2016</v>
      </c>
      <c r="M506" s="279">
        <v>2017</v>
      </c>
      <c r="S506" s="82"/>
      <c r="AD506" s="249"/>
      <c r="AE506" s="249"/>
      <c r="AF506" s="249"/>
      <c r="AG506" s="249"/>
      <c r="AH506" s="249"/>
      <c r="AI506" s="249"/>
    </row>
    <row r="507" spans="2:35">
      <c r="B507" s="243" t="s">
        <v>461</v>
      </c>
      <c r="D507" s="9" t="e">
        <f>'18 Data for Charts'!O28/1000</f>
        <v>#REF!</v>
      </c>
      <c r="E507" s="9" t="e">
        <f>'18 Data for Charts'!P28/1000</f>
        <v>#REF!</v>
      </c>
      <c r="F507" s="9" t="e">
        <f>'18 Data for Charts'!Q28/1000</f>
        <v>#REF!</v>
      </c>
      <c r="G507" s="9" t="e">
        <f>'18 Data for Charts'!R28/1000</f>
        <v>#REF!</v>
      </c>
      <c r="H507" s="9" t="e">
        <f>'18 Data for Charts'!S28/1000</f>
        <v>#REF!</v>
      </c>
      <c r="I507" s="9" t="e">
        <f>'18 Data for Charts'!T28/1000</f>
        <v>#REF!</v>
      </c>
      <c r="J507" s="9" t="e">
        <f>'18 Data for Charts'!#REF!/1000</f>
        <v>#REF!</v>
      </c>
      <c r="K507" s="9" t="e">
        <f>'18 Data for Charts'!#REF!/1000</f>
        <v>#REF!</v>
      </c>
      <c r="L507" s="9" t="e">
        <f>'18 Data for Charts'!#REF!/1000</f>
        <v>#REF!</v>
      </c>
      <c r="M507" s="436"/>
      <c r="S507" s="82"/>
      <c r="AD507" s="249"/>
      <c r="AE507" s="249"/>
      <c r="AF507" s="249"/>
      <c r="AG507" s="249"/>
      <c r="AH507" s="249"/>
      <c r="AI507" s="249"/>
    </row>
    <row r="508" spans="2:35">
      <c r="B508" s="278" t="s">
        <v>396</v>
      </c>
      <c r="C508" s="4"/>
      <c r="D508" s="10" t="e">
        <f>'18 Data for Charts'!O29/1000</f>
        <v>#REF!</v>
      </c>
      <c r="E508" s="10" t="e">
        <f>'18 Data for Charts'!P29/1000</f>
        <v>#REF!</v>
      </c>
      <c r="F508" s="10" t="e">
        <f>'18 Data for Charts'!Q29/1000</f>
        <v>#REF!</v>
      </c>
      <c r="G508" s="10" t="e">
        <f>'18 Data for Charts'!R29/1000</f>
        <v>#REF!</v>
      </c>
      <c r="H508" s="10" t="e">
        <f>'18 Data for Charts'!S29/1000</f>
        <v>#REF!</v>
      </c>
      <c r="I508" s="10" t="e">
        <f>'18 Data for Charts'!T29/1000</f>
        <v>#REF!</v>
      </c>
      <c r="J508" s="10" t="e">
        <f>'18 Data for Charts'!#REF!/1000</f>
        <v>#REF!</v>
      </c>
      <c r="K508" s="10" t="e">
        <f>'18 Data for Charts'!#REF!/1000</f>
        <v>#REF!</v>
      </c>
      <c r="L508" s="10" t="e">
        <f>'18 Data for Charts'!#REF!/1000</f>
        <v>#REF!</v>
      </c>
      <c r="M508" s="351"/>
      <c r="S508" s="82"/>
      <c r="AD508" s="249"/>
      <c r="AE508" s="249"/>
      <c r="AF508" s="249"/>
      <c r="AG508" s="249"/>
      <c r="AH508" s="249"/>
      <c r="AI508" s="249"/>
    </row>
    <row r="509" spans="2:35">
      <c r="L509" s="186"/>
      <c r="S509" s="82"/>
      <c r="AD509" s="249"/>
      <c r="AE509" s="249"/>
      <c r="AF509" s="249"/>
      <c r="AG509" s="249"/>
      <c r="AH509" s="249"/>
      <c r="AI509" s="249"/>
    </row>
    <row r="510" spans="2:35">
      <c r="B510" s="40" t="s">
        <v>854</v>
      </c>
      <c r="C510" s="28"/>
      <c r="D510" s="28"/>
      <c r="E510" s="28"/>
      <c r="F510" s="28"/>
      <c r="G510" s="28"/>
    </row>
    <row r="511" spans="2:35" ht="19.5">
      <c r="Q511" s="425" t="s">
        <v>852</v>
      </c>
    </row>
    <row r="512" spans="2:35" ht="15">
      <c r="B512" s="303"/>
    </row>
    <row r="524" spans="2:18">
      <c r="B524" s="242"/>
      <c r="J524" s="249"/>
      <c r="K524" s="249"/>
      <c r="N524" s="249"/>
      <c r="O524" s="249"/>
      <c r="P524" s="186"/>
      <c r="Q524" s="249"/>
      <c r="R524" s="249"/>
    </row>
    <row r="525" spans="2:18">
      <c r="B525" s="242"/>
      <c r="J525" s="249"/>
      <c r="K525" s="249"/>
      <c r="N525" s="249"/>
      <c r="O525" s="249"/>
      <c r="P525" s="249"/>
      <c r="Q525" s="249"/>
      <c r="R525" s="249"/>
    </row>
    <row r="527" spans="2:18">
      <c r="R527" s="285"/>
    </row>
    <row r="532" spans="2:18">
      <c r="B532" s="13" t="s">
        <v>855</v>
      </c>
      <c r="C532" s="4"/>
      <c r="D532" s="4"/>
      <c r="E532" s="4"/>
      <c r="F532" s="4"/>
      <c r="G532" s="4"/>
      <c r="H532" s="4"/>
      <c r="I532" s="4"/>
      <c r="J532" s="4"/>
      <c r="K532" s="4"/>
      <c r="L532" s="434"/>
      <c r="M532" s="4"/>
    </row>
    <row r="533" spans="2:18" ht="13.5">
      <c r="B533" s="280"/>
      <c r="C533" s="25"/>
      <c r="D533" s="25"/>
      <c r="E533" s="25"/>
      <c r="F533" s="25"/>
      <c r="G533" s="25"/>
      <c r="H533" s="25"/>
      <c r="I533" s="25"/>
      <c r="J533" s="25"/>
      <c r="K533" s="25"/>
      <c r="L533" s="435"/>
      <c r="M533" s="395">
        <f>'X-Chart Basics'!D24</f>
        <v>42790</v>
      </c>
    </row>
    <row r="534" spans="2:18" ht="15">
      <c r="B534" s="243"/>
      <c r="C534" s="377" t="s">
        <v>336</v>
      </c>
      <c r="D534" s="245">
        <v>2008</v>
      </c>
      <c r="E534" s="245">
        <f t="shared" ref="E534:L534" si="42">D534+1</f>
        <v>2009</v>
      </c>
      <c r="F534" s="245">
        <f t="shared" si="42"/>
        <v>2010</v>
      </c>
      <c r="G534" s="245">
        <f t="shared" si="42"/>
        <v>2011</v>
      </c>
      <c r="H534" s="245">
        <f t="shared" si="42"/>
        <v>2012</v>
      </c>
      <c r="I534" s="245">
        <f t="shared" si="42"/>
        <v>2013</v>
      </c>
      <c r="J534" s="245">
        <f t="shared" si="42"/>
        <v>2014</v>
      </c>
      <c r="K534" s="245">
        <f t="shared" si="42"/>
        <v>2015</v>
      </c>
      <c r="L534" s="245">
        <f t="shared" si="42"/>
        <v>2016</v>
      </c>
      <c r="M534" s="279">
        <v>2017</v>
      </c>
    </row>
    <row r="535" spans="2:18">
      <c r="B535" s="243" t="s">
        <v>461</v>
      </c>
      <c r="D535" s="9">
        <f t="shared" ref="D535:M535" si="43">D257</f>
        <v>0</v>
      </c>
      <c r="E535" s="9" t="e">
        <f t="shared" si="43"/>
        <v>#REF!</v>
      </c>
      <c r="F535" s="9" t="e">
        <f t="shared" si="43"/>
        <v>#REF!</v>
      </c>
      <c r="G535" s="9" t="e">
        <f t="shared" si="43"/>
        <v>#REF!</v>
      </c>
      <c r="H535" s="9" t="e">
        <f t="shared" si="43"/>
        <v>#REF!</v>
      </c>
      <c r="I535" s="9" t="e">
        <f t="shared" si="43"/>
        <v>#REF!</v>
      </c>
      <c r="J535" s="9" t="e">
        <f t="shared" si="43"/>
        <v>#REF!</v>
      </c>
      <c r="K535" s="9" t="e">
        <f t="shared" si="43"/>
        <v>#REF!</v>
      </c>
      <c r="L535" s="9" t="e">
        <f t="shared" si="43"/>
        <v>#REF!</v>
      </c>
      <c r="M535" s="436" t="e">
        <f t="shared" si="43"/>
        <v>#REF!</v>
      </c>
    </row>
    <row r="536" spans="2:18">
      <c r="B536" s="278" t="s">
        <v>396</v>
      </c>
      <c r="C536" s="4"/>
      <c r="D536" s="10">
        <f t="shared" ref="D536:M536" si="44">D258</f>
        <v>0</v>
      </c>
      <c r="E536" s="10" t="e">
        <f t="shared" si="44"/>
        <v>#REF!</v>
      </c>
      <c r="F536" s="10" t="e">
        <f t="shared" si="44"/>
        <v>#REF!</v>
      </c>
      <c r="G536" s="10" t="e">
        <f t="shared" si="44"/>
        <v>#REF!</v>
      </c>
      <c r="H536" s="10" t="e">
        <f t="shared" si="44"/>
        <v>#REF!</v>
      </c>
      <c r="I536" s="10" t="e">
        <f t="shared" si="44"/>
        <v>#REF!</v>
      </c>
      <c r="J536" s="10" t="e">
        <f t="shared" si="44"/>
        <v>#REF!</v>
      </c>
      <c r="K536" s="10" t="e">
        <f t="shared" si="44"/>
        <v>#REF!</v>
      </c>
      <c r="L536" s="10" t="e">
        <f t="shared" si="44"/>
        <v>#REF!</v>
      </c>
      <c r="M536" s="351" t="e">
        <f t="shared" si="44"/>
        <v>#REF!</v>
      </c>
    </row>
    <row r="537" spans="2:18">
      <c r="I537" s="9"/>
      <c r="J537" s="9"/>
      <c r="K537" s="9"/>
      <c r="L537" s="9"/>
      <c r="M537" s="9"/>
      <c r="N537" s="9"/>
      <c r="O537" s="9"/>
      <c r="P537" s="9"/>
      <c r="Q537" s="9"/>
      <c r="R537" s="73"/>
    </row>
    <row r="538" spans="2:18">
      <c r="B538" s="468" t="s">
        <v>856</v>
      </c>
      <c r="C538" s="28"/>
      <c r="D538" s="28"/>
      <c r="E538" s="28"/>
      <c r="F538" s="28"/>
      <c r="G538" s="28"/>
    </row>
    <row r="539" spans="2:18" ht="16.5">
      <c r="B539" s="422"/>
    </row>
    <row r="540" spans="2:18">
      <c r="B540" s="1" t="s">
        <v>857</v>
      </c>
      <c r="L540" s="33"/>
    </row>
    <row r="541" spans="2:18" ht="19.5">
      <c r="B541" s="280"/>
      <c r="C541" s="25"/>
      <c r="D541" s="281"/>
      <c r="E541" s="281"/>
      <c r="F541" s="281"/>
      <c r="G541" s="281"/>
      <c r="H541" s="281"/>
      <c r="I541" s="281"/>
      <c r="J541" s="281"/>
      <c r="K541" s="281"/>
      <c r="L541" s="281"/>
      <c r="M541" s="395">
        <f>'X-Chart Basics'!D24</f>
        <v>42790</v>
      </c>
      <c r="O541" s="425" t="s">
        <v>858</v>
      </c>
    </row>
    <row r="542" spans="2:18" ht="15">
      <c r="B542" s="282"/>
      <c r="C542" s="46"/>
      <c r="D542" s="245">
        <v>2008</v>
      </c>
      <c r="E542" s="245">
        <f t="shared" ref="E542:L542" si="45">D542+1</f>
        <v>2009</v>
      </c>
      <c r="F542" s="245">
        <f t="shared" si="45"/>
        <v>2010</v>
      </c>
      <c r="G542" s="245">
        <f t="shared" si="45"/>
        <v>2011</v>
      </c>
      <c r="H542" s="245">
        <f t="shared" si="45"/>
        <v>2012</v>
      </c>
      <c r="I542" s="245">
        <f t="shared" si="45"/>
        <v>2013</v>
      </c>
      <c r="J542" s="245">
        <f t="shared" si="45"/>
        <v>2014</v>
      </c>
      <c r="K542" s="245">
        <f t="shared" si="45"/>
        <v>2015</v>
      </c>
      <c r="L542" s="245">
        <f t="shared" si="45"/>
        <v>2016</v>
      </c>
      <c r="M542" s="279">
        <v>2017</v>
      </c>
      <c r="O542" s="306" t="s">
        <v>568</v>
      </c>
    </row>
    <row r="543" spans="2:18">
      <c r="B543" s="243" t="s">
        <v>630</v>
      </c>
      <c r="D543" s="23" t="e">
        <f>'18 Data for Charts'!O70</f>
        <v>#REF!</v>
      </c>
      <c r="E543" s="23" t="e">
        <f>'18 Data for Charts'!P70</f>
        <v>#REF!</v>
      </c>
      <c r="F543" s="23" t="e">
        <f>'18 Data for Charts'!Q70</f>
        <v>#REF!</v>
      </c>
      <c r="G543" s="23" t="e">
        <f>'18 Data for Charts'!R70</f>
        <v>#REF!</v>
      </c>
      <c r="H543" s="23" t="e">
        <f>'18 Data for Charts'!S70</f>
        <v>#REF!</v>
      </c>
      <c r="I543" s="23" t="e">
        <f>'18 Data for Charts'!T70</f>
        <v>#REF!</v>
      </c>
      <c r="J543" s="23" t="e">
        <f>'18 Data for Charts'!#REF!</f>
        <v>#REF!</v>
      </c>
      <c r="K543" s="23" t="e">
        <f>'18 Data for Charts'!#REF!</f>
        <v>#REF!</v>
      </c>
      <c r="L543" s="23" t="e">
        <f>'18 Data for Charts'!#REF!</f>
        <v>#REF!</v>
      </c>
      <c r="M543" s="396">
        <f>'15c-Charts Stores'!R144</f>
        <v>0</v>
      </c>
      <c r="O543" s="424" t="e">
        <f>'18 Data for Charts'!#REF!</f>
        <v>#REF!</v>
      </c>
    </row>
    <row r="544" spans="2:18">
      <c r="B544" s="278" t="s">
        <v>859</v>
      </c>
      <c r="C544" s="4"/>
      <c r="D544" s="48" t="e">
        <f>'Mark-Expect'!#REF!</f>
        <v>#REF!</v>
      </c>
      <c r="E544" s="48" t="e">
        <f>'Mark-Expect'!#REF!</f>
        <v>#REF!</v>
      </c>
      <c r="F544" s="48" t="e">
        <f>'Mark-Expect'!#REF!</f>
        <v>#REF!</v>
      </c>
      <c r="G544" s="48">
        <f>'Mark-Expect'!N59</f>
        <v>0</v>
      </c>
      <c r="H544" s="48">
        <f>'Mark-Expect'!O59</f>
        <v>0</v>
      </c>
      <c r="I544" s="48" t="e">
        <f>'Mark-Expect'!P59</f>
        <v>#REF!</v>
      </c>
      <c r="J544" s="48" t="e">
        <f>'Mark-Expect'!Q59</f>
        <v>#REF!</v>
      </c>
      <c r="K544" s="48" t="e">
        <f>'Mark-Expect'!R59</f>
        <v>#REF!</v>
      </c>
      <c r="L544" s="48" t="e">
        <f>'Mark-Expect'!S59</f>
        <v>#REF!</v>
      </c>
      <c r="M544" s="48" t="e">
        <f>'Mark-Expect'!T59</f>
        <v>#REF!</v>
      </c>
    </row>
    <row r="545" spans="2:18">
      <c r="B545" s="306"/>
      <c r="I545" s="19"/>
      <c r="J545" s="19"/>
      <c r="K545" s="19"/>
      <c r="L545" s="19"/>
      <c r="M545" s="19"/>
      <c r="N545" s="19"/>
      <c r="O545" s="19"/>
      <c r="P545" s="19"/>
      <c r="Q545" s="19"/>
      <c r="R545" s="19"/>
    </row>
    <row r="546" spans="2:18">
      <c r="B546" s="468" t="s">
        <v>860</v>
      </c>
      <c r="C546" s="28"/>
      <c r="D546" s="28"/>
      <c r="E546" s="28"/>
      <c r="F546" s="28"/>
      <c r="G546" s="28"/>
    </row>
    <row r="547" spans="2:18" ht="16.5">
      <c r="B547" s="422"/>
    </row>
    <row r="548" spans="2:18" ht="19.5">
      <c r="B548" s="425" t="s">
        <v>861</v>
      </c>
    </row>
    <row r="549" spans="2:18">
      <c r="B549" s="306"/>
    </row>
    <row r="550" spans="2:18">
      <c r="B550" s="1" t="s">
        <v>862</v>
      </c>
      <c r="L550" s="33"/>
    </row>
    <row r="551" spans="2:18" ht="13.5">
      <c r="B551" s="280"/>
      <c r="C551" s="25"/>
      <c r="D551" s="281"/>
      <c r="E551" s="281"/>
      <c r="F551" s="281"/>
      <c r="G551" s="281"/>
      <c r="H551" s="281"/>
      <c r="I551" s="281"/>
      <c r="J551" s="281"/>
      <c r="K551" s="281"/>
      <c r="L551" s="281"/>
      <c r="M551" s="395">
        <f>'X-Chart Basics'!D24</f>
        <v>42790</v>
      </c>
    </row>
    <row r="552" spans="2:18" ht="15">
      <c r="B552" s="282"/>
      <c r="C552" s="46"/>
      <c r="D552" s="245">
        <v>2008</v>
      </c>
      <c r="E552" s="245">
        <f t="shared" ref="E552:L552" si="46">D552+1</f>
        <v>2009</v>
      </c>
      <c r="F552" s="245">
        <f t="shared" si="46"/>
        <v>2010</v>
      </c>
      <c r="G552" s="245">
        <f t="shared" si="46"/>
        <v>2011</v>
      </c>
      <c r="H552" s="245">
        <f t="shared" si="46"/>
        <v>2012</v>
      </c>
      <c r="I552" s="245">
        <f t="shared" si="46"/>
        <v>2013</v>
      </c>
      <c r="J552" s="245">
        <f t="shared" si="46"/>
        <v>2014</v>
      </c>
      <c r="K552" s="245">
        <f t="shared" si="46"/>
        <v>2015</v>
      </c>
      <c r="L552" s="245">
        <f t="shared" si="46"/>
        <v>2016</v>
      </c>
      <c r="M552" s="279">
        <v>2017</v>
      </c>
    </row>
    <row r="553" spans="2:18">
      <c r="B553" s="243" t="s">
        <v>630</v>
      </c>
      <c r="D553" s="23">
        <f>'18 Data for Charts'!O65</f>
        <v>0</v>
      </c>
      <c r="E553" s="23">
        <f>'18 Data for Charts'!P65</f>
        <v>0</v>
      </c>
      <c r="F553" s="23">
        <f>'18 Data for Charts'!Q65</f>
        <v>0</v>
      </c>
      <c r="G553" s="23">
        <f>'18 Data for Charts'!R65</f>
        <v>0</v>
      </c>
      <c r="H553" s="23">
        <f>'18 Data for Charts'!S65</f>
        <v>0</v>
      </c>
      <c r="I553" s="23">
        <f>'18 Data for Charts'!T65</f>
        <v>0</v>
      </c>
      <c r="J553" s="23" t="e">
        <f>'18 Data for Charts'!#REF!</f>
        <v>#REF!</v>
      </c>
      <c r="K553" s="23" t="e">
        <f>'18 Data for Charts'!#REF!</f>
        <v>#REF!</v>
      </c>
      <c r="L553" s="23" t="e">
        <f>'18 Data for Charts'!#REF!</f>
        <v>#REF!</v>
      </c>
      <c r="M553" s="396">
        <f>R513</f>
        <v>0</v>
      </c>
      <c r="N553" s="19"/>
      <c r="O553" s="19"/>
      <c r="P553" s="19"/>
      <c r="Q553" s="19"/>
      <c r="R553" s="21"/>
    </row>
    <row r="554" spans="2:18">
      <c r="B554" s="278" t="s">
        <v>859</v>
      </c>
      <c r="C554" s="4"/>
      <c r="D554" s="48">
        <f>'Econ-Perf 2'!N78</f>
        <v>0</v>
      </c>
      <c r="E554" s="48">
        <f>'Econ-Perf 2'!O78</f>
        <v>0</v>
      </c>
      <c r="F554" s="48">
        <f>'Econ-Perf 2'!P78</f>
        <v>0</v>
      </c>
      <c r="G554" s="48">
        <f>'Econ-Perf 2'!Q78</f>
        <v>0</v>
      </c>
      <c r="H554" s="48">
        <f>'Econ-Perf 2'!R78</f>
        <v>0</v>
      </c>
      <c r="I554" s="48">
        <f>'Econ-Perf 2'!S78</f>
        <v>0</v>
      </c>
      <c r="J554" s="48">
        <f>'Econ-Perf 2'!T78</f>
        <v>0</v>
      </c>
      <c r="K554" s="48" t="e">
        <f>'Econ-Perf 2'!#REF!</f>
        <v>#REF!</v>
      </c>
      <c r="L554" s="48" t="e">
        <f>'Econ-Perf 2'!#REF!</f>
        <v>#REF!</v>
      </c>
      <c r="M554" s="392"/>
      <c r="N554" s="19"/>
      <c r="O554" s="19"/>
      <c r="P554" s="19"/>
      <c r="Q554" s="19"/>
      <c r="R554" s="21"/>
    </row>
    <row r="555" spans="2:18">
      <c r="D555" s="19"/>
      <c r="E555" s="19"/>
      <c r="F555" s="19"/>
      <c r="G555" s="19"/>
      <c r="H555" s="19"/>
      <c r="I555" s="19"/>
      <c r="J555" s="19"/>
      <c r="K555" s="19"/>
      <c r="L555" s="19"/>
      <c r="M555" s="465"/>
      <c r="N555" s="19"/>
      <c r="O555" s="19"/>
      <c r="P555" s="19"/>
      <c r="Q555" s="19"/>
      <c r="R555" s="21"/>
    </row>
    <row r="556" spans="2:18">
      <c r="B556" s="468" t="s">
        <v>863</v>
      </c>
      <c r="C556" s="28"/>
      <c r="D556" s="28"/>
      <c r="E556" s="28"/>
      <c r="F556" s="28"/>
      <c r="G556" s="28"/>
    </row>
    <row r="557" spans="2:18" ht="16.5">
      <c r="B557" s="422"/>
    </row>
    <row r="558" spans="2:18" ht="19.5">
      <c r="B558" s="425" t="s">
        <v>864</v>
      </c>
    </row>
    <row r="559" spans="2:18">
      <c r="B559" s="306"/>
    </row>
    <row r="560" spans="2:18">
      <c r="B560" s="1" t="s">
        <v>865</v>
      </c>
      <c r="L560" s="33"/>
    </row>
    <row r="561" spans="2:18" ht="13.5">
      <c r="B561" s="280"/>
      <c r="C561" s="25"/>
      <c r="D561" s="281"/>
      <c r="E561" s="281"/>
      <c r="F561" s="281"/>
      <c r="G561" s="281"/>
      <c r="H561" s="281"/>
      <c r="I561" s="281"/>
      <c r="J561" s="281"/>
      <c r="K561" s="281"/>
      <c r="L561" s="281"/>
      <c r="M561" s="395">
        <f>'X-Chart Basics'!D24</f>
        <v>42790</v>
      </c>
    </row>
    <row r="562" spans="2:18" ht="15">
      <c r="B562" s="282">
        <v>1000</v>
      </c>
      <c r="C562" s="46" t="s">
        <v>43</v>
      </c>
      <c r="D562" s="245">
        <v>2008</v>
      </c>
      <c r="E562" s="245">
        <f t="shared" ref="E562:L562" si="47">D562+1</f>
        <v>2009</v>
      </c>
      <c r="F562" s="245">
        <f t="shared" si="47"/>
        <v>2010</v>
      </c>
      <c r="G562" s="245">
        <f t="shared" si="47"/>
        <v>2011</v>
      </c>
      <c r="H562" s="245">
        <f t="shared" si="47"/>
        <v>2012</v>
      </c>
      <c r="I562" s="245">
        <f t="shared" si="47"/>
        <v>2013</v>
      </c>
      <c r="J562" s="245">
        <f t="shared" si="47"/>
        <v>2014</v>
      </c>
      <c r="K562" s="245">
        <f t="shared" si="47"/>
        <v>2015</v>
      </c>
      <c r="L562" s="245">
        <f t="shared" si="47"/>
        <v>2016</v>
      </c>
      <c r="M562" s="279">
        <v>2017</v>
      </c>
    </row>
    <row r="563" spans="2:18">
      <c r="B563" s="243" t="s">
        <v>630</v>
      </c>
      <c r="D563" s="23" t="e">
        <f>'18 Data for Charts'!O67</f>
        <v>#REF!</v>
      </c>
      <c r="E563" s="23" t="e">
        <f>'18 Data for Charts'!P67</f>
        <v>#REF!</v>
      </c>
      <c r="F563" s="23" t="e">
        <f>'18 Data for Charts'!Q67</f>
        <v>#REF!</v>
      </c>
      <c r="G563" s="23" t="e">
        <f>'18 Data for Charts'!R67</f>
        <v>#REF!</v>
      </c>
      <c r="H563" s="23" t="e">
        <f>'18 Data for Charts'!S67</f>
        <v>#REF!</v>
      </c>
      <c r="I563" s="23" t="e">
        <f>'18 Data for Charts'!T67</f>
        <v>#REF!</v>
      </c>
      <c r="J563" s="23" t="e">
        <f>'18 Data for Charts'!#REF!</f>
        <v>#REF!</v>
      </c>
      <c r="K563" s="23" t="e">
        <f>'18 Data for Charts'!#REF!</f>
        <v>#REF!</v>
      </c>
      <c r="L563" s="23" t="e">
        <f>'18 Data for Charts'!#REF!</f>
        <v>#REF!</v>
      </c>
      <c r="M563" s="396">
        <f>R519</f>
        <v>0</v>
      </c>
      <c r="N563" s="19"/>
      <c r="O563" s="19"/>
      <c r="P563" s="19"/>
      <c r="Q563" s="19"/>
      <c r="R563" s="21"/>
    </row>
    <row r="564" spans="2:18">
      <c r="B564" s="278" t="s">
        <v>859</v>
      </c>
      <c r="C564" s="4"/>
      <c r="D564" s="48">
        <f>'Econ-Perf 2'!N96</f>
        <v>0</v>
      </c>
      <c r="E564" s="48" t="e">
        <f>'Econ-Perf 2'!O96</f>
        <v>#REF!</v>
      </c>
      <c r="F564" s="48" t="e">
        <f>'Econ-Perf 2'!P96</f>
        <v>#REF!</v>
      </c>
      <c r="G564" s="48" t="e">
        <f>'Econ-Perf 2'!Q96</f>
        <v>#REF!</v>
      </c>
      <c r="H564" s="48" t="e">
        <f>'Econ-Perf 2'!R96</f>
        <v>#REF!</v>
      </c>
      <c r="I564" s="48" t="e">
        <f>'Econ-Perf 2'!S96</f>
        <v>#REF!</v>
      </c>
      <c r="J564" s="48" t="e">
        <f>'Econ-Perf 2'!T96</f>
        <v>#REF!</v>
      </c>
      <c r="K564" s="48" t="e">
        <f>'Econ-Perf 2'!#REF!</f>
        <v>#REF!</v>
      </c>
      <c r="L564" s="48" t="e">
        <f>'Econ-Perf 2'!#REF!</f>
        <v>#REF!</v>
      </c>
      <c r="M564" s="392"/>
      <c r="N564" s="19"/>
      <c r="O564" s="19"/>
      <c r="P564" s="19"/>
      <c r="Q564" s="19"/>
      <c r="R564" s="21"/>
    </row>
    <row r="565" spans="2:18">
      <c r="B565" s="306"/>
      <c r="I565" s="19"/>
      <c r="J565" s="19"/>
      <c r="K565" s="19"/>
      <c r="L565" s="19"/>
      <c r="M565" s="19"/>
      <c r="N565" s="19"/>
      <c r="O565" s="19"/>
      <c r="P565" s="19"/>
      <c r="Q565" s="19"/>
      <c r="R565" s="21"/>
    </row>
    <row r="566" spans="2:18">
      <c r="B566" s="468" t="s">
        <v>866</v>
      </c>
      <c r="C566" s="28"/>
      <c r="D566" s="28"/>
      <c r="E566" s="28"/>
      <c r="F566" s="28"/>
      <c r="G566" s="28"/>
    </row>
    <row r="567" spans="2:18" ht="16.5">
      <c r="B567" s="422"/>
    </row>
    <row r="568" spans="2:18" ht="19.5">
      <c r="B568" s="425" t="s">
        <v>867</v>
      </c>
    </row>
    <row r="569" spans="2:18" ht="16.5">
      <c r="B569" s="422"/>
    </row>
    <row r="570" spans="2:18">
      <c r="B570" s="1" t="s">
        <v>868</v>
      </c>
      <c r="L570" s="33"/>
    </row>
    <row r="571" spans="2:18" ht="13.5">
      <c r="B571" s="280"/>
      <c r="C571" s="25"/>
      <c r="D571" s="281"/>
      <c r="E571" s="281"/>
      <c r="F571" s="281"/>
      <c r="G571" s="281"/>
      <c r="H571" s="281"/>
      <c r="I571" s="281"/>
      <c r="J571" s="281"/>
      <c r="K571" s="281"/>
      <c r="L571" s="281"/>
      <c r="M571" s="395">
        <f>'X-Chart Basics'!D24</f>
        <v>42790</v>
      </c>
    </row>
    <row r="572" spans="2:18" ht="15">
      <c r="B572" s="282">
        <v>1000</v>
      </c>
      <c r="C572" s="46" t="s">
        <v>43</v>
      </c>
      <c r="D572" s="245">
        <v>2008</v>
      </c>
      <c r="E572" s="245">
        <f t="shared" ref="E572:L572" si="48">D572+1</f>
        <v>2009</v>
      </c>
      <c r="F572" s="245">
        <f t="shared" si="48"/>
        <v>2010</v>
      </c>
      <c r="G572" s="245">
        <f t="shared" si="48"/>
        <v>2011</v>
      </c>
      <c r="H572" s="245">
        <f t="shared" si="48"/>
        <v>2012</v>
      </c>
      <c r="I572" s="245">
        <f t="shared" si="48"/>
        <v>2013</v>
      </c>
      <c r="J572" s="245">
        <f t="shared" si="48"/>
        <v>2014</v>
      </c>
      <c r="K572" s="245">
        <f t="shared" si="48"/>
        <v>2015</v>
      </c>
      <c r="L572" s="245">
        <f t="shared" si="48"/>
        <v>2016</v>
      </c>
      <c r="M572" s="279">
        <v>2017</v>
      </c>
    </row>
    <row r="573" spans="2:18">
      <c r="B573" s="243" t="s">
        <v>630</v>
      </c>
      <c r="D573" s="23" t="e">
        <f>'18 Data for Charts'!O70</f>
        <v>#REF!</v>
      </c>
      <c r="E573" s="23" t="e">
        <f>'18 Data for Charts'!P70</f>
        <v>#REF!</v>
      </c>
      <c r="F573" s="23" t="e">
        <f>'18 Data for Charts'!Q70</f>
        <v>#REF!</v>
      </c>
      <c r="G573" s="23" t="e">
        <f>'18 Data for Charts'!R70</f>
        <v>#REF!</v>
      </c>
      <c r="H573" s="23" t="e">
        <f>'18 Data for Charts'!S70</f>
        <v>#REF!</v>
      </c>
      <c r="I573" s="23" t="e">
        <f>'18 Data for Charts'!T70</f>
        <v>#REF!</v>
      </c>
      <c r="J573" s="23" t="e">
        <f>'18 Data for Charts'!#REF!</f>
        <v>#REF!</v>
      </c>
      <c r="K573" s="23" t="e">
        <f>'18 Data for Charts'!#REF!</f>
        <v>#REF!</v>
      </c>
      <c r="L573" s="23" t="e">
        <f>'18 Data for Charts'!#REF!</f>
        <v>#REF!</v>
      </c>
      <c r="M573" s="396">
        <f>R525</f>
        <v>0</v>
      </c>
      <c r="N573" s="19"/>
      <c r="O573" s="19"/>
      <c r="P573" s="19"/>
      <c r="Q573" s="19"/>
      <c r="R573" s="21"/>
    </row>
    <row r="574" spans="2:18">
      <c r="B574" s="278" t="s">
        <v>859</v>
      </c>
      <c r="C574" s="4"/>
      <c r="D574" s="48" t="e">
        <f>'Econ-Perf 1'!#REF!</f>
        <v>#REF!</v>
      </c>
      <c r="E574" s="48" t="e">
        <f>'Econ-Perf 1'!#REF!</f>
        <v>#REF!</v>
      </c>
      <c r="F574" s="48" t="e">
        <f>'Econ-Perf 1'!#REF!</f>
        <v>#REF!</v>
      </c>
      <c r="G574" s="48">
        <f>'Econ-Perf 1'!M53</f>
        <v>0</v>
      </c>
      <c r="H574" s="48">
        <f>'Econ-Perf 1'!N53</f>
        <v>0</v>
      </c>
      <c r="I574" s="48" t="e">
        <f>'Econ-Perf 1'!O53</f>
        <v>#REF!</v>
      </c>
      <c r="J574" s="48" t="e">
        <f>'Econ-Perf 1'!P53</f>
        <v>#REF!</v>
      </c>
      <c r="K574" s="48" t="e">
        <f>'Econ-Perf 1'!Q53</f>
        <v>#REF!</v>
      </c>
      <c r="L574" s="48" t="e">
        <f>'Econ-Perf 1'!R53</f>
        <v>#REF!</v>
      </c>
      <c r="M574" s="392"/>
      <c r="N574" s="19"/>
      <c r="O574" s="19"/>
      <c r="P574" s="19"/>
      <c r="Q574" s="19"/>
      <c r="R574" s="21"/>
    </row>
    <row r="575" spans="2:18">
      <c r="D575" s="19"/>
      <c r="E575" s="19"/>
      <c r="F575" s="19"/>
      <c r="G575" s="19"/>
      <c r="H575" s="19"/>
      <c r="I575" s="19"/>
      <c r="J575" s="19"/>
      <c r="K575" s="19"/>
      <c r="L575" s="19"/>
      <c r="M575" s="21"/>
      <c r="N575" s="19"/>
      <c r="O575" s="19"/>
      <c r="P575" s="19"/>
      <c r="Q575" s="19"/>
      <c r="R575" s="21"/>
    </row>
    <row r="576" spans="2:18">
      <c r="B576" s="468" t="s">
        <v>869</v>
      </c>
      <c r="C576" s="28"/>
      <c r="D576" s="28"/>
      <c r="E576" s="28"/>
      <c r="F576" s="28"/>
      <c r="G576" s="28"/>
    </row>
    <row r="577" spans="2:18" ht="16.5">
      <c r="B577" s="422"/>
    </row>
    <row r="578" spans="2:18" ht="19.5">
      <c r="B578" s="425" t="s">
        <v>870</v>
      </c>
    </row>
    <row r="579" spans="2:18" ht="16.5">
      <c r="B579" s="422"/>
    </row>
    <row r="580" spans="2:18">
      <c r="B580" s="1" t="s">
        <v>871</v>
      </c>
      <c r="L580" s="33"/>
    </row>
    <row r="581" spans="2:18" ht="13.5">
      <c r="B581" s="280"/>
      <c r="C581" s="25"/>
      <c r="D581" s="281"/>
      <c r="E581" s="281"/>
      <c r="F581" s="281"/>
      <c r="G581" s="281"/>
      <c r="H581" s="281"/>
      <c r="I581" s="281"/>
      <c r="J581" s="281"/>
      <c r="K581" s="281"/>
      <c r="L581" s="281"/>
      <c r="M581" s="395">
        <f>'X-Chart Basics'!D24</f>
        <v>42790</v>
      </c>
    </row>
    <row r="582" spans="2:18" ht="15">
      <c r="B582" s="282"/>
      <c r="C582" s="46" t="s">
        <v>43</v>
      </c>
      <c r="D582" s="245">
        <v>2008</v>
      </c>
      <c r="E582" s="245">
        <f t="shared" ref="E582:L582" si="49">D582+1</f>
        <v>2009</v>
      </c>
      <c r="F582" s="245">
        <f t="shared" si="49"/>
        <v>2010</v>
      </c>
      <c r="G582" s="245">
        <f t="shared" si="49"/>
        <v>2011</v>
      </c>
      <c r="H582" s="245">
        <f t="shared" si="49"/>
        <v>2012</v>
      </c>
      <c r="I582" s="245">
        <f t="shared" si="49"/>
        <v>2013</v>
      </c>
      <c r="J582" s="245">
        <f t="shared" si="49"/>
        <v>2014</v>
      </c>
      <c r="K582" s="245">
        <f t="shared" si="49"/>
        <v>2015</v>
      </c>
      <c r="L582" s="245">
        <f t="shared" si="49"/>
        <v>2016</v>
      </c>
      <c r="M582" s="279">
        <v>2017</v>
      </c>
    </row>
    <row r="583" spans="2:18">
      <c r="B583" s="243" t="s">
        <v>630</v>
      </c>
      <c r="D583" s="23" t="e">
        <f>'18 Data for Charts'!O97</f>
        <v>#REF!</v>
      </c>
      <c r="E583" s="23" t="e">
        <f>'18 Data for Charts'!P97</f>
        <v>#REF!</v>
      </c>
      <c r="F583" s="23" t="e">
        <f>'18 Data for Charts'!Q97</f>
        <v>#REF!</v>
      </c>
      <c r="G583" s="23" t="e">
        <f>'18 Data for Charts'!R97</f>
        <v>#REF!</v>
      </c>
      <c r="H583" s="23" t="e">
        <f>'18 Data for Charts'!S97</f>
        <v>#REF!</v>
      </c>
      <c r="I583" s="23" t="e">
        <f>'18 Data for Charts'!T97</f>
        <v>#REF!</v>
      </c>
      <c r="J583" s="23" t="e">
        <f>'18 Data for Charts'!#REF!</f>
        <v>#REF!</v>
      </c>
      <c r="K583" s="23" t="e">
        <f>'18 Data for Charts'!#REF!</f>
        <v>#REF!</v>
      </c>
      <c r="L583" s="23" t="e">
        <f>'18 Data for Charts'!#REF!</f>
        <v>#REF!</v>
      </c>
      <c r="M583" s="396">
        <v>0</v>
      </c>
      <c r="N583" s="19"/>
      <c r="O583" s="19"/>
      <c r="P583" s="19"/>
      <c r="Q583" s="19"/>
      <c r="R583" s="21"/>
    </row>
    <row r="584" spans="2:18">
      <c r="B584" s="278" t="s">
        <v>859</v>
      </c>
      <c r="C584" s="4"/>
      <c r="D584" s="48" t="e">
        <f>'Econ-Perf 1'!#REF!</f>
        <v>#REF!</v>
      </c>
      <c r="E584" s="48" t="e">
        <f>'Econ-Perf 1'!#REF!</f>
        <v>#REF!</v>
      </c>
      <c r="F584" s="48" t="e">
        <f>'Econ-Perf 1'!#REF!</f>
        <v>#REF!</v>
      </c>
      <c r="G584" s="48">
        <f>'Econ-Perf 1'!M55</f>
        <v>0</v>
      </c>
      <c r="H584" s="48">
        <f>'Econ-Perf 1'!N55</f>
        <v>0</v>
      </c>
      <c r="I584" s="48" t="e">
        <f>'Econ-Perf 1'!O55</f>
        <v>#REF!</v>
      </c>
      <c r="J584" s="48" t="e">
        <f>'Econ-Perf 1'!P55</f>
        <v>#REF!</v>
      </c>
      <c r="K584" s="48" t="e">
        <f>'Econ-Perf 1'!Q55</f>
        <v>#REF!</v>
      </c>
      <c r="L584" s="48" t="e">
        <f>'Econ-Perf 1'!R55</f>
        <v>#REF!</v>
      </c>
      <c r="M584" s="392"/>
      <c r="N584" s="19"/>
      <c r="O584" s="19"/>
      <c r="P584" s="19"/>
      <c r="Q584" s="19"/>
      <c r="R584" s="21"/>
    </row>
    <row r="585" spans="2:18" ht="16.5">
      <c r="B585" s="422"/>
      <c r="I585" s="19"/>
      <c r="J585" s="19"/>
      <c r="K585" s="19"/>
      <c r="L585" s="19"/>
      <c r="M585" s="19"/>
      <c r="N585" s="19"/>
      <c r="O585" s="19"/>
      <c r="P585" s="19"/>
      <c r="Q585" s="19"/>
      <c r="R585" s="21"/>
    </row>
    <row r="586" spans="2:18">
      <c r="B586" s="468" t="s">
        <v>872</v>
      </c>
      <c r="C586" s="28"/>
      <c r="D586" s="28"/>
      <c r="E586" s="28"/>
      <c r="F586" s="28"/>
      <c r="G586" s="28"/>
    </row>
    <row r="587" spans="2:18" ht="16.5">
      <c r="B587" s="422"/>
    </row>
    <row r="588" spans="2:18" ht="19.5">
      <c r="B588" s="425" t="s">
        <v>515</v>
      </c>
    </row>
    <row r="589" spans="2:18" ht="16.5">
      <c r="B589" s="422"/>
    </row>
    <row r="590" spans="2:18">
      <c r="B590" s="1" t="s">
        <v>873</v>
      </c>
      <c r="L590" s="33"/>
    </row>
    <row r="591" spans="2:18" ht="13.5">
      <c r="B591" s="280"/>
      <c r="C591" s="25"/>
      <c r="D591" s="281"/>
      <c r="E591" s="281"/>
      <c r="F591" s="281"/>
      <c r="G591" s="281"/>
      <c r="H591" s="281"/>
      <c r="I591" s="281"/>
      <c r="J591" s="281"/>
      <c r="K591" s="281"/>
      <c r="L591" s="281"/>
      <c r="M591" s="395">
        <f>'X-Chart Basics'!D24</f>
        <v>42790</v>
      </c>
    </row>
    <row r="592" spans="2:18" ht="15">
      <c r="B592" s="282"/>
      <c r="C592" s="46"/>
      <c r="D592" s="245">
        <v>2008</v>
      </c>
      <c r="E592" s="245">
        <f t="shared" ref="E592:L592" si="50">D592+1</f>
        <v>2009</v>
      </c>
      <c r="F592" s="245">
        <f t="shared" si="50"/>
        <v>2010</v>
      </c>
      <c r="G592" s="245">
        <f t="shared" si="50"/>
        <v>2011</v>
      </c>
      <c r="H592" s="245">
        <f t="shared" si="50"/>
        <v>2012</v>
      </c>
      <c r="I592" s="245">
        <f t="shared" si="50"/>
        <v>2013</v>
      </c>
      <c r="J592" s="245">
        <f t="shared" si="50"/>
        <v>2014</v>
      </c>
      <c r="K592" s="245">
        <f t="shared" si="50"/>
        <v>2015</v>
      </c>
      <c r="L592" s="245">
        <f t="shared" si="50"/>
        <v>2016</v>
      </c>
      <c r="M592" s="279">
        <v>2017</v>
      </c>
      <c r="O592">
        <f>329021/((73507+80204)/2)</f>
        <v>4.2810338882708461</v>
      </c>
    </row>
    <row r="593" spans="2:20">
      <c r="B593" s="243" t="s">
        <v>630</v>
      </c>
      <c r="D593" s="448">
        <f>'18 Data for Charts'!O92</f>
        <v>0</v>
      </c>
      <c r="E593" s="448">
        <f>'18 Data for Charts'!P92</f>
        <v>0</v>
      </c>
      <c r="F593" s="448">
        <f>'18 Data for Charts'!Q92</f>
        <v>0</v>
      </c>
      <c r="G593" s="448">
        <f>'18 Data for Charts'!R92</f>
        <v>0</v>
      </c>
      <c r="H593" s="448">
        <f>'18 Data for Charts'!S92</f>
        <v>0</v>
      </c>
      <c r="I593" s="448">
        <f>'18 Data for Charts'!T92</f>
        <v>0</v>
      </c>
      <c r="J593" s="448" t="e">
        <f>'18 Data for Charts'!#REF!</f>
        <v>#REF!</v>
      </c>
      <c r="K593" s="448" t="e">
        <f>'18 Data for Charts'!#REF!</f>
        <v>#REF!</v>
      </c>
      <c r="L593" s="448" t="e">
        <f>'18 Data for Charts'!#REF!</f>
        <v>#REF!</v>
      </c>
      <c r="M593" s="396">
        <v>0</v>
      </c>
      <c r="O593">
        <f>365/O592</f>
        <v>85.259778251236241</v>
      </c>
      <c r="P593" s="9"/>
      <c r="Q593" s="9"/>
      <c r="R593" s="21"/>
    </row>
    <row r="594" spans="2:20">
      <c r="B594" s="278" t="s">
        <v>859</v>
      </c>
      <c r="C594" s="4"/>
      <c r="D594" s="449" t="e">
        <f>'Econ-Perf 1'!#REF!</f>
        <v>#REF!</v>
      </c>
      <c r="E594" s="449" t="e">
        <f>'Econ-Perf 1'!#REF!</f>
        <v>#REF!</v>
      </c>
      <c r="F594" s="449" t="e">
        <f>'Econ-Perf 1'!#REF!</f>
        <v>#REF!</v>
      </c>
      <c r="G594" s="449">
        <f>'Econ-Perf 1'!M39</f>
        <v>0</v>
      </c>
      <c r="H594" s="449">
        <f>'Econ-Perf 1'!N39</f>
        <v>0</v>
      </c>
      <c r="I594" s="449" t="e">
        <f>'Econ-Perf 1'!O39</f>
        <v>#REF!</v>
      </c>
      <c r="J594" s="449" t="e">
        <f>'Econ-Perf 1'!P39</f>
        <v>#REF!</v>
      </c>
      <c r="K594" s="449" t="e">
        <f>'Econ-Perf 1'!Q39</f>
        <v>#REF!</v>
      </c>
      <c r="L594" s="449" t="e">
        <f>'Econ-Perf 1'!R39</f>
        <v>#REF!</v>
      </c>
      <c r="M594" s="392"/>
      <c r="P594" s="9"/>
      <c r="Q594" s="9"/>
      <c r="R594" s="21"/>
    </row>
    <row r="595" spans="2:20" ht="16.5">
      <c r="B595" s="422"/>
    </row>
    <row r="596" spans="2:20">
      <c r="B596" s="468" t="s">
        <v>874</v>
      </c>
      <c r="C596" s="28"/>
      <c r="D596" s="28"/>
      <c r="E596" s="28"/>
      <c r="F596" s="28"/>
      <c r="G596" s="28"/>
    </row>
    <row r="597" spans="2:20" ht="16.5">
      <c r="B597" s="422"/>
    </row>
    <row r="598" spans="2:20" ht="19.5">
      <c r="B598" s="425" t="s">
        <v>875</v>
      </c>
    </row>
    <row r="599" spans="2:20" ht="16.5">
      <c r="B599" s="422"/>
      <c r="T599" s="439"/>
    </row>
    <row r="600" spans="2:20">
      <c r="B600" s="1" t="s">
        <v>876</v>
      </c>
      <c r="L600" s="33"/>
    </row>
    <row r="601" spans="2:20" ht="13.5">
      <c r="B601" s="280"/>
      <c r="C601" s="25"/>
      <c r="D601" s="281"/>
      <c r="E601" s="281"/>
      <c r="F601" s="281"/>
      <c r="G601" s="281"/>
      <c r="H601" s="281"/>
      <c r="I601" s="281"/>
      <c r="J601" s="281"/>
      <c r="K601" s="281"/>
      <c r="L601" s="281"/>
      <c r="M601" s="395">
        <f>'X-Chart Basics'!D24</f>
        <v>42790</v>
      </c>
    </row>
    <row r="602" spans="2:20" ht="15">
      <c r="B602" s="282"/>
      <c r="C602" s="377" t="s">
        <v>336</v>
      </c>
      <c r="D602" s="245">
        <v>2008</v>
      </c>
      <c r="E602" s="245">
        <f t="shared" ref="E602:L602" si="51">D602+1</f>
        <v>2009</v>
      </c>
      <c r="F602" s="245">
        <f t="shared" si="51"/>
        <v>2010</v>
      </c>
      <c r="G602" s="245">
        <f t="shared" si="51"/>
        <v>2011</v>
      </c>
      <c r="H602" s="245">
        <f t="shared" si="51"/>
        <v>2012</v>
      </c>
      <c r="I602" s="245">
        <f t="shared" si="51"/>
        <v>2013</v>
      </c>
      <c r="J602" s="245">
        <f t="shared" si="51"/>
        <v>2014</v>
      </c>
      <c r="K602" s="245">
        <f t="shared" si="51"/>
        <v>2015</v>
      </c>
      <c r="L602" s="245">
        <f t="shared" si="51"/>
        <v>2016</v>
      </c>
      <c r="M602" s="279">
        <v>2017</v>
      </c>
    </row>
    <row r="603" spans="2:20">
      <c r="B603" s="243" t="s">
        <v>630</v>
      </c>
      <c r="D603" s="466" t="e">
        <f>'18 Data for Charts'!O91</f>
        <v>#REF!</v>
      </c>
      <c r="E603" s="466" t="e">
        <f>'18 Data for Charts'!P91</f>
        <v>#REF!</v>
      </c>
      <c r="F603" s="466" t="e">
        <f>'18 Data for Charts'!Q91</f>
        <v>#REF!</v>
      </c>
      <c r="G603" s="466" t="e">
        <f>'18 Data for Charts'!R91</f>
        <v>#REF!</v>
      </c>
      <c r="H603" s="466" t="e">
        <f>'18 Data for Charts'!S91</f>
        <v>#REF!</v>
      </c>
      <c r="I603" s="466" t="e">
        <f>'18 Data for Charts'!T91</f>
        <v>#REF!</v>
      </c>
      <c r="J603" s="466" t="e">
        <f>'18 Data for Charts'!#REF!</f>
        <v>#REF!</v>
      </c>
      <c r="K603" s="466" t="e">
        <f>'18 Data for Charts'!#REF!</f>
        <v>#REF!</v>
      </c>
      <c r="L603" s="466" t="e">
        <f>'18 Data for Charts'!#REF!</f>
        <v>#REF!</v>
      </c>
      <c r="M603" s="467">
        <f>M563</f>
        <v>0</v>
      </c>
      <c r="N603" s="9"/>
      <c r="O603" s="9"/>
      <c r="P603" s="9"/>
      <c r="Q603" s="9"/>
      <c r="R603" s="21"/>
    </row>
    <row r="604" spans="2:20">
      <c r="B604" s="278" t="s">
        <v>859</v>
      </c>
      <c r="C604" s="4"/>
      <c r="D604" s="449" t="e">
        <f>'Econ-Perf 1'!#REF!</f>
        <v>#REF!</v>
      </c>
      <c r="E604" s="449" t="e">
        <f>'Econ-Perf 1'!#REF!</f>
        <v>#REF!</v>
      </c>
      <c r="F604" s="449" t="e">
        <f>'Econ-Perf 1'!#REF!</f>
        <v>#REF!</v>
      </c>
      <c r="G604" s="449">
        <f>'Econ-Perf 1'!M40</f>
        <v>0</v>
      </c>
      <c r="H604" s="449">
        <f>'Econ-Perf 1'!N40</f>
        <v>0</v>
      </c>
      <c r="I604" s="449" t="e">
        <f>'Econ-Perf 1'!O40</f>
        <v>#REF!</v>
      </c>
      <c r="J604" s="449" t="e">
        <f>'Econ-Perf 1'!P40</f>
        <v>#REF!</v>
      </c>
      <c r="K604" s="449" t="e">
        <f>'Econ-Perf 1'!Q40</f>
        <v>#REF!</v>
      </c>
      <c r="L604" s="449" t="e">
        <f>'Econ-Perf 1'!R40</f>
        <v>#REF!</v>
      </c>
      <c r="M604" s="392"/>
      <c r="N604" s="9"/>
      <c r="O604" s="9"/>
      <c r="P604" s="9"/>
      <c r="Q604" s="9"/>
      <c r="R604" s="21"/>
    </row>
    <row r="605" spans="2:20" ht="16.5">
      <c r="B605" s="422"/>
      <c r="I605" s="9"/>
      <c r="J605" s="9"/>
      <c r="K605" s="9"/>
      <c r="L605" s="9"/>
      <c r="M605" s="9"/>
      <c r="N605" s="9"/>
      <c r="O605" s="9"/>
      <c r="P605" s="9"/>
      <c r="Q605" s="9"/>
      <c r="R605" s="21"/>
    </row>
    <row r="606" spans="2:20">
      <c r="B606" s="468" t="s">
        <v>877</v>
      </c>
      <c r="C606" s="28"/>
      <c r="D606" s="28"/>
      <c r="E606" s="28"/>
      <c r="F606" s="28"/>
      <c r="G606" s="28"/>
    </row>
    <row r="607" spans="2:20" ht="16.5">
      <c r="B607" s="422"/>
    </row>
    <row r="608" spans="2:20" ht="19.5">
      <c r="B608" s="425" t="s">
        <v>878</v>
      </c>
    </row>
    <row r="609" spans="2:18" ht="16.5">
      <c r="B609" s="422"/>
    </row>
    <row r="610" spans="2:18">
      <c r="B610" s="1" t="s">
        <v>879</v>
      </c>
      <c r="L610" s="33"/>
    </row>
    <row r="611" spans="2:18" ht="13.5">
      <c r="B611" s="280"/>
      <c r="C611" s="25"/>
      <c r="D611" s="281"/>
      <c r="E611" s="281"/>
      <c r="F611" s="281"/>
      <c r="G611" s="281"/>
      <c r="H611" s="281"/>
      <c r="I611" s="281"/>
      <c r="J611" s="281"/>
      <c r="K611" s="281"/>
      <c r="L611" s="281"/>
      <c r="M611" s="395">
        <f>'X-Chart Basics'!D24</f>
        <v>42790</v>
      </c>
    </row>
    <row r="612" spans="2:18" ht="15">
      <c r="B612" s="282"/>
      <c r="C612" s="377" t="s">
        <v>336</v>
      </c>
      <c r="D612" s="245">
        <v>2008</v>
      </c>
      <c r="E612" s="245">
        <f t="shared" ref="E612:L612" si="52">D612+1</f>
        <v>2009</v>
      </c>
      <c r="F612" s="245">
        <f t="shared" si="52"/>
        <v>2010</v>
      </c>
      <c r="G612" s="245">
        <f t="shared" si="52"/>
        <v>2011</v>
      </c>
      <c r="H612" s="245">
        <f t="shared" si="52"/>
        <v>2012</v>
      </c>
      <c r="I612" s="245">
        <f t="shared" si="52"/>
        <v>2013</v>
      </c>
      <c r="J612" s="245">
        <f t="shared" si="52"/>
        <v>2014</v>
      </c>
      <c r="K612" s="245">
        <f t="shared" si="52"/>
        <v>2015</v>
      </c>
      <c r="L612" s="245">
        <f t="shared" si="52"/>
        <v>2016</v>
      </c>
      <c r="M612" s="279">
        <v>2017</v>
      </c>
    </row>
    <row r="613" spans="2:18">
      <c r="B613" s="426" t="s">
        <v>339</v>
      </c>
      <c r="C613" s="377"/>
      <c r="D613" s="427" t="e">
        <f>'18 Data for Charts'!O86</f>
        <v>#REF!</v>
      </c>
      <c r="E613" s="427" t="e">
        <f>'18 Data for Charts'!P86</f>
        <v>#REF!</v>
      </c>
      <c r="F613" s="427" t="e">
        <f>'18 Data for Charts'!Q86</f>
        <v>#REF!</v>
      </c>
      <c r="G613" s="427" t="e">
        <f>'18 Data for Charts'!R86</f>
        <v>#REF!</v>
      </c>
      <c r="H613" s="427" t="e">
        <f>'18 Data for Charts'!S86</f>
        <v>#REF!</v>
      </c>
      <c r="I613" s="427" t="e">
        <f>'18 Data for Charts'!T86</f>
        <v>#REF!</v>
      </c>
      <c r="J613" s="427" t="e">
        <f>'18 Data for Charts'!#REF!</f>
        <v>#REF!</v>
      </c>
      <c r="K613" s="427" t="e">
        <f>'18 Data for Charts'!#REF!</f>
        <v>#REF!</v>
      </c>
      <c r="L613" s="427" t="e">
        <f>'18 Data for Charts'!#REF!</f>
        <v>#REF!</v>
      </c>
      <c r="M613" s="182">
        <v>0</v>
      </c>
    </row>
    <row r="614" spans="2:18">
      <c r="B614" s="426" t="s">
        <v>204</v>
      </c>
      <c r="C614" s="377"/>
      <c r="D614" s="427" t="e">
        <f>'18 Data for Charts'!O87</f>
        <v>#REF!</v>
      </c>
      <c r="E614" s="427" t="e">
        <f>'18 Data for Charts'!P87</f>
        <v>#REF!</v>
      </c>
      <c r="F614" s="427" t="e">
        <f>'18 Data for Charts'!Q87</f>
        <v>#REF!</v>
      </c>
      <c r="G614" s="427" t="e">
        <f>'18 Data for Charts'!R87</f>
        <v>#REF!</v>
      </c>
      <c r="H614" s="427" t="e">
        <f>'18 Data for Charts'!S87</f>
        <v>#REF!</v>
      </c>
      <c r="I614" s="427" t="e">
        <f>'18 Data for Charts'!T87</f>
        <v>#REF!</v>
      </c>
      <c r="J614" s="427" t="e">
        <f>'18 Data for Charts'!#REF!</f>
        <v>#REF!</v>
      </c>
      <c r="K614" s="427" t="e">
        <f>'18 Data for Charts'!#REF!</f>
        <v>#REF!</v>
      </c>
      <c r="L614" s="427" t="e">
        <f>'18 Data for Charts'!#REF!</f>
        <v>#REF!</v>
      </c>
      <c r="M614" s="182">
        <v>0</v>
      </c>
    </row>
    <row r="615" spans="2:18">
      <c r="B615" s="426" t="s">
        <v>143</v>
      </c>
      <c r="C615" s="377"/>
      <c r="D615" s="428" t="e">
        <f>'18 Data for Charts'!O88</f>
        <v>#REF!</v>
      </c>
      <c r="E615" s="428" t="e">
        <f>'18 Data for Charts'!P88</f>
        <v>#REF!</v>
      </c>
      <c r="F615" s="428" t="e">
        <f>'18 Data for Charts'!Q88</f>
        <v>#REF!</v>
      </c>
      <c r="G615" s="428" t="e">
        <f>'18 Data for Charts'!R88</f>
        <v>#REF!</v>
      </c>
      <c r="H615" s="428" t="e">
        <f>'18 Data for Charts'!S88</f>
        <v>#REF!</v>
      </c>
      <c r="I615" s="428" t="e">
        <f>'18 Data for Charts'!T88</f>
        <v>#REF!</v>
      </c>
      <c r="J615" s="428" t="e">
        <f>'18 Data for Charts'!#REF!</f>
        <v>#REF!</v>
      </c>
      <c r="K615" s="428" t="e">
        <f>'18 Data for Charts'!#REF!</f>
        <v>#REF!</v>
      </c>
      <c r="L615" s="428" t="e">
        <f>'18 Data for Charts'!#REF!</f>
        <v>#REF!</v>
      </c>
      <c r="M615" s="279">
        <v>0</v>
      </c>
    </row>
    <row r="616" spans="2:18">
      <c r="B616" s="376" t="s">
        <v>205</v>
      </c>
      <c r="D616" s="427" t="e">
        <f>'18 Data for Charts'!O89</f>
        <v>#REF!</v>
      </c>
      <c r="E616" s="427" t="e">
        <f>'18 Data for Charts'!P89</f>
        <v>#REF!</v>
      </c>
      <c r="F616" s="427" t="e">
        <f>'18 Data for Charts'!Q89</f>
        <v>#REF!</v>
      </c>
      <c r="G616" s="427" t="e">
        <f>'18 Data for Charts'!R89</f>
        <v>#REF!</v>
      </c>
      <c r="H616" s="427" t="e">
        <f>'18 Data for Charts'!S89</f>
        <v>#REF!</v>
      </c>
      <c r="I616" s="427" t="e">
        <f>'18 Data for Charts'!T89</f>
        <v>#REF!</v>
      </c>
      <c r="J616" s="427" t="e">
        <f>'18 Data for Charts'!#REF!</f>
        <v>#REF!</v>
      </c>
      <c r="K616" s="427" t="e">
        <f>'18 Data for Charts'!#REF!</f>
        <v>#REF!</v>
      </c>
      <c r="L616" s="427" t="e">
        <f>'18 Data for Charts'!#REF!</f>
        <v>#REF!</v>
      </c>
      <c r="M616" s="396">
        <f>R576</f>
        <v>0</v>
      </c>
      <c r="N616" s="9"/>
      <c r="O616" s="9"/>
      <c r="P616" s="9"/>
      <c r="Q616" s="9"/>
      <c r="R616" s="21"/>
    </row>
    <row r="617" spans="2:18">
      <c r="B617" s="380"/>
      <c r="C617" s="4"/>
      <c r="D617" s="10"/>
      <c r="E617" s="10"/>
      <c r="F617" s="10"/>
      <c r="G617" s="10"/>
      <c r="H617" s="10"/>
      <c r="I617" s="10"/>
      <c r="J617" s="10"/>
      <c r="K617" s="10"/>
      <c r="L617" s="10"/>
      <c r="M617" s="392"/>
      <c r="N617" s="9"/>
      <c r="O617" s="9"/>
      <c r="P617" s="9"/>
      <c r="Q617" s="9"/>
      <c r="R617" s="21"/>
    </row>
    <row r="618" spans="2:18" ht="16.5">
      <c r="B618" s="422"/>
      <c r="G618" s="306"/>
      <c r="I618" s="9"/>
      <c r="J618" s="9"/>
      <c r="K618" s="9"/>
      <c r="L618" s="9"/>
      <c r="M618" s="9"/>
      <c r="N618" s="9"/>
      <c r="O618" s="9"/>
      <c r="P618" s="9"/>
      <c r="Q618" s="9"/>
      <c r="R618" s="21"/>
    </row>
    <row r="619" spans="2:18">
      <c r="B619" s="468" t="s">
        <v>880</v>
      </c>
      <c r="C619" s="28"/>
      <c r="D619" s="28"/>
      <c r="E619" s="28"/>
      <c r="F619" s="28"/>
      <c r="G619" s="28"/>
    </row>
    <row r="620" spans="2:18" ht="16.5">
      <c r="B620" s="422"/>
    </row>
    <row r="621" spans="2:18" ht="19.5">
      <c r="B621" s="425" t="s">
        <v>878</v>
      </c>
    </row>
    <row r="622" spans="2:18" ht="16.5">
      <c r="B622" s="422"/>
    </row>
    <row r="623" spans="2:18">
      <c r="B623" s="1" t="s">
        <v>881</v>
      </c>
      <c r="L623" s="33"/>
    </row>
    <row r="624" spans="2:18" ht="13.5">
      <c r="B624" s="280"/>
      <c r="C624" s="25"/>
      <c r="D624" s="281"/>
      <c r="E624" s="281"/>
      <c r="F624" s="281"/>
      <c r="G624" s="281"/>
      <c r="H624" s="281"/>
      <c r="I624" s="281"/>
      <c r="J624" s="281"/>
      <c r="K624" s="281"/>
      <c r="L624" s="281"/>
      <c r="M624" s="395">
        <f>'X-Chart Basics'!D24</f>
        <v>42790</v>
      </c>
    </row>
    <row r="625" spans="2:18" ht="15">
      <c r="B625" s="282"/>
      <c r="C625" s="377" t="s">
        <v>882</v>
      </c>
      <c r="D625" s="245">
        <v>2008</v>
      </c>
      <c r="E625" s="245">
        <f t="shared" ref="E625:L625" si="53">D625+1</f>
        <v>2009</v>
      </c>
      <c r="F625" s="245">
        <f t="shared" si="53"/>
        <v>2010</v>
      </c>
      <c r="G625" s="245">
        <f t="shared" si="53"/>
        <v>2011</v>
      </c>
      <c r="H625" s="245">
        <f t="shared" si="53"/>
        <v>2012</v>
      </c>
      <c r="I625" s="245">
        <f t="shared" si="53"/>
        <v>2013</v>
      </c>
      <c r="J625" s="245">
        <f t="shared" si="53"/>
        <v>2014</v>
      </c>
      <c r="K625" s="245">
        <f t="shared" si="53"/>
        <v>2015</v>
      </c>
      <c r="L625" s="245">
        <f t="shared" si="53"/>
        <v>2016</v>
      </c>
      <c r="M625" s="279">
        <v>2017</v>
      </c>
    </row>
    <row r="626" spans="2:18">
      <c r="B626" s="426" t="s">
        <v>339</v>
      </c>
      <c r="C626" s="377"/>
      <c r="D626" s="431" t="e">
        <f>D613/$D$616</f>
        <v>#REF!</v>
      </c>
      <c r="E626" s="431" t="e">
        <f>E613/$E$616</f>
        <v>#REF!</v>
      </c>
      <c r="F626" s="431" t="e">
        <f>F613/$F$616</f>
        <v>#REF!</v>
      </c>
      <c r="G626" s="431" t="e">
        <f>G613/$G$616</f>
        <v>#REF!</v>
      </c>
      <c r="H626" s="431" t="e">
        <f>H613/$H$616</f>
        <v>#REF!</v>
      </c>
      <c r="I626" s="431" t="e">
        <f>I613/$I$616</f>
        <v>#REF!</v>
      </c>
      <c r="J626" s="431" t="e">
        <f>J613/$J$616</f>
        <v>#REF!</v>
      </c>
      <c r="K626" s="431" t="e">
        <f>K613/$K$616</f>
        <v>#REF!</v>
      </c>
      <c r="L626" s="431" t="e">
        <f>L613/$L$616</f>
        <v>#REF!</v>
      </c>
      <c r="M626" s="431" t="e">
        <f>M613/$M$616</f>
        <v>#DIV/0!</v>
      </c>
    </row>
    <row r="627" spans="2:18">
      <c r="B627" s="426" t="s">
        <v>204</v>
      </c>
      <c r="C627" s="377"/>
      <c r="D627" s="431" t="e">
        <f>D614/$D$616</f>
        <v>#REF!</v>
      </c>
      <c r="E627" s="431" t="e">
        <f>E614/$E$616</f>
        <v>#REF!</v>
      </c>
      <c r="F627" s="431" t="e">
        <f>F614/$F$616</f>
        <v>#REF!</v>
      </c>
      <c r="G627" s="431" t="e">
        <f>G614/$G$616</f>
        <v>#REF!</v>
      </c>
      <c r="H627" s="431" t="e">
        <f>H614/$H$616</f>
        <v>#REF!</v>
      </c>
      <c r="I627" s="431" t="e">
        <f>I614/$I$616</f>
        <v>#REF!</v>
      </c>
      <c r="J627" s="431" t="e">
        <f>J614/$J$616</f>
        <v>#REF!</v>
      </c>
      <c r="K627" s="431" t="e">
        <f>K614/$K$616</f>
        <v>#REF!</v>
      </c>
      <c r="L627" s="431" t="e">
        <f>L614/$L$616</f>
        <v>#REF!</v>
      </c>
      <c r="M627" s="431" t="e">
        <f>M614/$M$616</f>
        <v>#DIV/0!</v>
      </c>
    </row>
    <row r="628" spans="2:18">
      <c r="B628" s="426" t="s">
        <v>143</v>
      </c>
      <c r="C628" s="377"/>
      <c r="D628" s="438" t="e">
        <f>D615/$D$616</f>
        <v>#REF!</v>
      </c>
      <c r="E628" s="438" t="e">
        <f>E615/$E$616</f>
        <v>#REF!</v>
      </c>
      <c r="F628" s="438" t="e">
        <f>F615/$F$616</f>
        <v>#REF!</v>
      </c>
      <c r="G628" s="438" t="e">
        <f>G615/$G$616</f>
        <v>#REF!</v>
      </c>
      <c r="H628" s="438" t="e">
        <f>H615/$H$616</f>
        <v>#REF!</v>
      </c>
      <c r="I628" s="438" t="e">
        <f>I615/$I$616</f>
        <v>#REF!</v>
      </c>
      <c r="J628" s="438" t="e">
        <f>J615/$J$616</f>
        <v>#REF!</v>
      </c>
      <c r="K628" s="438" t="e">
        <f>K615/$K$616</f>
        <v>#REF!</v>
      </c>
      <c r="L628" s="438" t="e">
        <f>L615/$L$616</f>
        <v>#REF!</v>
      </c>
      <c r="M628" s="438" t="e">
        <f>M615/$M$616</f>
        <v>#DIV/0!</v>
      </c>
      <c r="N628" s="9"/>
      <c r="O628" s="9"/>
      <c r="P628" s="9"/>
      <c r="Q628" s="9"/>
      <c r="R628" s="21"/>
    </row>
    <row r="629" spans="2:18">
      <c r="B629" s="376" t="s">
        <v>205</v>
      </c>
      <c r="D629" s="431" t="e">
        <f>SUM(D626:D628)</f>
        <v>#REF!</v>
      </c>
      <c r="E629" s="431" t="e">
        <f>SUM(E626:E628)</f>
        <v>#REF!</v>
      </c>
      <c r="F629" s="431" t="e">
        <f t="shared" ref="F629:M629" si="54">SUM(F626:F628)</f>
        <v>#REF!</v>
      </c>
      <c r="G629" s="431" t="e">
        <f t="shared" si="54"/>
        <v>#REF!</v>
      </c>
      <c r="H629" s="431" t="e">
        <f t="shared" si="54"/>
        <v>#REF!</v>
      </c>
      <c r="I629" s="431" t="e">
        <f t="shared" si="54"/>
        <v>#REF!</v>
      </c>
      <c r="J629" s="431" t="e">
        <f t="shared" si="54"/>
        <v>#REF!</v>
      </c>
      <c r="K629" s="431" t="e">
        <f t="shared" si="54"/>
        <v>#REF!</v>
      </c>
      <c r="L629" s="431" t="e">
        <f t="shared" si="54"/>
        <v>#REF!</v>
      </c>
      <c r="M629" s="431" t="e">
        <f t="shared" si="54"/>
        <v>#DIV/0!</v>
      </c>
      <c r="N629" s="9"/>
      <c r="O629" s="9"/>
      <c r="P629" s="9"/>
      <c r="Q629" s="9"/>
      <c r="R629" s="21"/>
    </row>
    <row r="630" spans="2:18" ht="16.5">
      <c r="B630" s="422"/>
      <c r="G630" s="306"/>
      <c r="I630" s="9"/>
      <c r="J630" s="9"/>
      <c r="K630" s="9"/>
      <c r="L630" s="9"/>
      <c r="M630" s="9"/>
      <c r="N630" s="9"/>
      <c r="O630" s="9"/>
      <c r="P630" s="9"/>
      <c r="Q630" s="9"/>
      <c r="R630" s="21"/>
    </row>
    <row r="631" spans="2:18" ht="16.5">
      <c r="B631" s="422"/>
      <c r="G631" s="306"/>
      <c r="I631" s="9"/>
      <c r="J631" s="9"/>
      <c r="K631" s="9"/>
      <c r="L631" s="9"/>
      <c r="M631" s="9"/>
      <c r="N631" s="9"/>
      <c r="O631" s="9"/>
      <c r="P631" s="9"/>
      <c r="Q631" s="9"/>
      <c r="R631" s="21"/>
    </row>
    <row r="632" spans="2:18">
      <c r="B632" s="468" t="s">
        <v>883</v>
      </c>
      <c r="C632" s="28"/>
      <c r="D632" s="28"/>
      <c r="E632" s="28"/>
      <c r="F632" s="28"/>
      <c r="G632" s="28"/>
    </row>
    <row r="633" spans="2:18" ht="16.5">
      <c r="B633" s="422"/>
    </row>
    <row r="634" spans="2:18" ht="19.5">
      <c r="B634" s="425" t="s">
        <v>878</v>
      </c>
    </row>
    <row r="635" spans="2:18" ht="16.5">
      <c r="B635" s="422"/>
    </row>
    <row r="636" spans="2:18">
      <c r="B636" s="1" t="s">
        <v>884</v>
      </c>
      <c r="L636" s="33"/>
    </row>
    <row r="637" spans="2:18" ht="13.5">
      <c r="B637" s="280"/>
      <c r="C637" s="25"/>
      <c r="D637" s="281"/>
      <c r="E637" s="281"/>
      <c r="F637" s="281"/>
      <c r="G637" s="281"/>
      <c r="H637" s="281"/>
      <c r="I637" s="281"/>
      <c r="J637" s="281"/>
      <c r="K637" s="281"/>
      <c r="L637" s="281"/>
      <c r="M637" s="471">
        <f>'X-Chart Basics'!D24</f>
        <v>42790</v>
      </c>
    </row>
    <row r="638" spans="2:18" ht="15">
      <c r="B638" s="282"/>
      <c r="C638" s="377" t="s">
        <v>336</v>
      </c>
      <c r="D638" s="245">
        <v>2008</v>
      </c>
      <c r="E638" s="245">
        <f t="shared" ref="E638:L638" si="55">D638+1</f>
        <v>2009</v>
      </c>
      <c r="F638" s="245">
        <f t="shared" si="55"/>
        <v>2010</v>
      </c>
      <c r="G638" s="245">
        <f t="shared" si="55"/>
        <v>2011</v>
      </c>
      <c r="H638" s="245">
        <f t="shared" si="55"/>
        <v>2012</v>
      </c>
      <c r="I638" s="245">
        <f t="shared" si="55"/>
        <v>2013</v>
      </c>
      <c r="J638" s="245">
        <f t="shared" si="55"/>
        <v>2014</v>
      </c>
      <c r="K638" s="245">
        <f t="shared" si="55"/>
        <v>2015</v>
      </c>
      <c r="L638" s="245">
        <f t="shared" si="55"/>
        <v>2016</v>
      </c>
      <c r="M638" s="13">
        <v>2017</v>
      </c>
    </row>
    <row r="639" spans="2:18">
      <c r="B639" s="426" t="s">
        <v>339</v>
      </c>
      <c r="D639" s="429">
        <f>'Econ-Perf 2'!N100</f>
        <v>0</v>
      </c>
      <c r="E639" s="429" t="e">
        <f>'Econ-Perf 2'!O100</f>
        <v>#REF!</v>
      </c>
      <c r="F639" s="429" t="e">
        <f>'Econ-Perf 2'!P100</f>
        <v>#REF!</v>
      </c>
      <c r="G639" s="429" t="e">
        <f>'Econ-Perf 2'!Q100</f>
        <v>#REF!</v>
      </c>
      <c r="H639" s="429" t="e">
        <f>'Econ-Perf 2'!R100</f>
        <v>#REF!</v>
      </c>
      <c r="I639" s="429" t="e">
        <f>'Econ-Perf 2'!S100</f>
        <v>#REF!</v>
      </c>
      <c r="J639" s="429" t="e">
        <f>'Econ-Perf 2'!T100</f>
        <v>#REF!</v>
      </c>
      <c r="K639" s="429" t="e">
        <f>'Econ-Perf 2'!#REF!</f>
        <v>#REF!</v>
      </c>
      <c r="L639" s="429" t="e">
        <f>'Econ-Perf 2'!#REF!</f>
        <v>#REF!</v>
      </c>
      <c r="M639" s="429"/>
    </row>
    <row r="640" spans="2:18">
      <c r="B640" s="426" t="s">
        <v>204</v>
      </c>
      <c r="D640" s="429">
        <f>'Econ-Perf 2'!N101</f>
        <v>0</v>
      </c>
      <c r="E640" s="429" t="e">
        <f>'Econ-Perf 2'!O101</f>
        <v>#REF!</v>
      </c>
      <c r="F640" s="429" t="e">
        <f>'Econ-Perf 2'!P101</f>
        <v>#REF!</v>
      </c>
      <c r="G640" s="429" t="e">
        <f>'Econ-Perf 2'!Q101</f>
        <v>#REF!</v>
      </c>
      <c r="H640" s="429" t="e">
        <f>'Econ-Perf 2'!R101</f>
        <v>#REF!</v>
      </c>
      <c r="I640" s="429" t="e">
        <f>'Econ-Perf 2'!S101</f>
        <v>#REF!</v>
      </c>
      <c r="J640" s="429" t="e">
        <f>'Econ-Perf 2'!T101</f>
        <v>#REF!</v>
      </c>
      <c r="K640" s="429" t="e">
        <f>'Econ-Perf 2'!#REF!</f>
        <v>#REF!</v>
      </c>
      <c r="L640" s="429" t="e">
        <f>'Econ-Perf 2'!#REF!</f>
        <v>#REF!</v>
      </c>
      <c r="M640" s="429"/>
    </row>
    <row r="641" spans="2:18">
      <c r="B641" s="426" t="s">
        <v>143</v>
      </c>
      <c r="D641" s="430">
        <f>'Econ-Perf 2'!N102</f>
        <v>0</v>
      </c>
      <c r="E641" s="430" t="e">
        <f>'Econ-Perf 2'!O102</f>
        <v>#REF!</v>
      </c>
      <c r="F641" s="430" t="e">
        <f>'Econ-Perf 2'!P102</f>
        <v>#REF!</v>
      </c>
      <c r="G641" s="430" t="e">
        <f>'Econ-Perf 2'!Q102</f>
        <v>#REF!</v>
      </c>
      <c r="H641" s="430" t="e">
        <f>'Econ-Perf 2'!R102</f>
        <v>#REF!</v>
      </c>
      <c r="I641" s="430" t="e">
        <f>'Econ-Perf 2'!S102</f>
        <v>#REF!</v>
      </c>
      <c r="J641" s="430" t="e">
        <f>'Econ-Perf 2'!T102</f>
        <v>#REF!</v>
      </c>
      <c r="K641" s="430" t="e">
        <f>'Econ-Perf 2'!#REF!</f>
        <v>#REF!</v>
      </c>
      <c r="L641" s="430" t="e">
        <f>'Econ-Perf 2'!#REF!</f>
        <v>#REF!</v>
      </c>
      <c r="M641" s="430"/>
      <c r="N641" s="9"/>
      <c r="O641" s="9"/>
      <c r="P641" s="9"/>
      <c r="Q641" s="9"/>
      <c r="R641" s="21"/>
    </row>
    <row r="642" spans="2:18">
      <c r="B642" s="376" t="s">
        <v>205</v>
      </c>
      <c r="D642" s="429">
        <f>'Econ-Perf 2'!N103</f>
        <v>0</v>
      </c>
      <c r="E642" s="429" t="e">
        <f>'Econ-Perf 2'!O103</f>
        <v>#REF!</v>
      </c>
      <c r="F642" s="429" t="e">
        <f>'Econ-Perf 2'!P103</f>
        <v>#REF!</v>
      </c>
      <c r="G642" s="429" t="e">
        <f>'Econ-Perf 2'!Q103</f>
        <v>#REF!</v>
      </c>
      <c r="H642" s="429" t="e">
        <f>'Econ-Perf 2'!R103</f>
        <v>#REF!</v>
      </c>
      <c r="I642" s="429" t="e">
        <f>'Econ-Perf 2'!S103</f>
        <v>#REF!</v>
      </c>
      <c r="J642" s="429" t="e">
        <f>'Econ-Perf 2'!T103</f>
        <v>#REF!</v>
      </c>
      <c r="K642" s="429" t="e">
        <f>'Econ-Perf 2'!#REF!</f>
        <v>#REF!</v>
      </c>
      <c r="L642" s="429" t="e">
        <f>'Econ-Perf 2'!#REF!</f>
        <v>#REF!</v>
      </c>
      <c r="M642" s="429"/>
      <c r="N642" s="9"/>
      <c r="O642" s="9"/>
      <c r="P642" s="9"/>
      <c r="Q642" s="9"/>
      <c r="R642" s="21"/>
    </row>
    <row r="643" spans="2:18" ht="16.5">
      <c r="B643" s="422"/>
      <c r="I643" s="9"/>
      <c r="J643" s="9"/>
      <c r="K643" s="9"/>
      <c r="L643" s="9"/>
      <c r="M643" s="9"/>
      <c r="N643" s="9"/>
      <c r="O643" s="9"/>
      <c r="P643" s="9"/>
      <c r="Q643" s="9"/>
      <c r="R643" s="21"/>
    </row>
    <row r="644" spans="2:18">
      <c r="B644" s="468" t="s">
        <v>885</v>
      </c>
      <c r="C644" s="28"/>
      <c r="D644" s="28"/>
      <c r="E644" s="28"/>
      <c r="F644" s="28"/>
      <c r="G644" s="28"/>
    </row>
    <row r="645" spans="2:18" ht="16.5">
      <c r="B645" s="422"/>
    </row>
    <row r="646" spans="2:18" ht="19.5">
      <c r="B646" s="425" t="s">
        <v>878</v>
      </c>
    </row>
    <row r="647" spans="2:18" ht="16.5">
      <c r="B647" s="422"/>
    </row>
    <row r="648" spans="2:18">
      <c r="B648" s="1" t="s">
        <v>886</v>
      </c>
      <c r="L648" s="33"/>
    </row>
    <row r="649" spans="2:18" ht="13.5">
      <c r="B649" s="280"/>
      <c r="C649" s="25"/>
      <c r="D649" s="281"/>
      <c r="E649" s="281"/>
      <c r="F649" s="281"/>
      <c r="G649" s="281"/>
      <c r="H649" s="281"/>
      <c r="I649" s="281"/>
      <c r="J649" s="281"/>
      <c r="K649" s="281"/>
      <c r="L649" s="281"/>
      <c r="M649" s="395">
        <f>'X-Chart Basics'!D24</f>
        <v>42790</v>
      </c>
    </row>
    <row r="650" spans="2:18" ht="15">
      <c r="B650" s="282"/>
      <c r="C650" s="377" t="s">
        <v>882</v>
      </c>
      <c r="D650" s="245">
        <v>2008</v>
      </c>
      <c r="E650" s="245">
        <f t="shared" ref="E650:L650" si="56">D650+1</f>
        <v>2009</v>
      </c>
      <c r="F650" s="245">
        <f t="shared" si="56"/>
        <v>2010</v>
      </c>
      <c r="G650" s="245">
        <f t="shared" si="56"/>
        <v>2011</v>
      </c>
      <c r="H650" s="245">
        <f t="shared" si="56"/>
        <v>2012</v>
      </c>
      <c r="I650" s="245">
        <f t="shared" si="56"/>
        <v>2013</v>
      </c>
      <c r="J650" s="245">
        <f t="shared" si="56"/>
        <v>2014</v>
      </c>
      <c r="K650" s="245">
        <f t="shared" si="56"/>
        <v>2015</v>
      </c>
      <c r="L650" s="245">
        <f t="shared" si="56"/>
        <v>2016</v>
      </c>
      <c r="M650" s="279">
        <v>2017</v>
      </c>
    </row>
    <row r="651" spans="2:18">
      <c r="B651" s="426" t="s">
        <v>339</v>
      </c>
      <c r="D651" s="432" t="e">
        <f>D639/$D$642</f>
        <v>#DIV/0!</v>
      </c>
      <c r="E651" s="432" t="e">
        <f>E639/$E$642</f>
        <v>#REF!</v>
      </c>
      <c r="F651" s="432" t="e">
        <f>E639/$E$642</f>
        <v>#REF!</v>
      </c>
      <c r="G651" s="432" t="e">
        <f>G639/$G$642</f>
        <v>#REF!</v>
      </c>
      <c r="H651" s="432" t="e">
        <f>H639/$H$642</f>
        <v>#REF!</v>
      </c>
      <c r="I651" s="432" t="e">
        <f>I639/$I$642</f>
        <v>#REF!</v>
      </c>
      <c r="J651" s="432" t="e">
        <f>J639/$J$642</f>
        <v>#REF!</v>
      </c>
      <c r="K651" s="432" t="e">
        <f>K639/$K$642</f>
        <v>#REF!</v>
      </c>
      <c r="L651" s="432" t="e">
        <f>L639/$L$642</f>
        <v>#REF!</v>
      </c>
      <c r="M651" s="432" t="e">
        <f>M639/M641</f>
        <v>#DIV/0!</v>
      </c>
    </row>
    <row r="652" spans="2:18">
      <c r="B652" s="426" t="s">
        <v>204</v>
      </c>
      <c r="D652" s="432" t="e">
        <f>D640/$D$642</f>
        <v>#DIV/0!</v>
      </c>
      <c r="E652" s="432" t="e">
        <f>E640/$E$642</f>
        <v>#REF!</v>
      </c>
      <c r="F652" s="432" t="e">
        <f>E640/$E$642</f>
        <v>#REF!</v>
      </c>
      <c r="G652" s="432" t="e">
        <f>G640/$G$642</f>
        <v>#REF!</v>
      </c>
      <c r="H652" s="432" t="e">
        <f>H640/$H$642</f>
        <v>#REF!</v>
      </c>
      <c r="I652" s="432" t="e">
        <f>I640/$I$642</f>
        <v>#REF!</v>
      </c>
      <c r="J652" s="432" t="e">
        <f>J640/$J$642</f>
        <v>#REF!</v>
      </c>
      <c r="K652" s="432" t="e">
        <f>K640/$K$642</f>
        <v>#REF!</v>
      </c>
      <c r="L652" s="432" t="e">
        <f>L640/$L$642</f>
        <v>#REF!</v>
      </c>
      <c r="M652" s="432" t="e">
        <f>M640/M642</f>
        <v>#DIV/0!</v>
      </c>
    </row>
    <row r="653" spans="2:18">
      <c r="B653" s="426" t="s">
        <v>143</v>
      </c>
      <c r="D653" s="433" t="e">
        <f>D641/$D$642</f>
        <v>#DIV/0!</v>
      </c>
      <c r="E653" s="433" t="e">
        <f>E641/$E$642</f>
        <v>#REF!</v>
      </c>
      <c r="F653" s="433" t="e">
        <f>E641/$E$642</f>
        <v>#REF!</v>
      </c>
      <c r="G653" s="433" t="e">
        <f>G641/$G$642</f>
        <v>#REF!</v>
      </c>
      <c r="H653" s="433" t="e">
        <f>H641/$H$642</f>
        <v>#REF!</v>
      </c>
      <c r="I653" s="433" t="e">
        <f>I641/$I$642</f>
        <v>#REF!</v>
      </c>
      <c r="J653" s="433" t="e">
        <f>J641/$J$642</f>
        <v>#REF!</v>
      </c>
      <c r="K653" s="433" t="e">
        <f>K641/$K$642</f>
        <v>#REF!</v>
      </c>
      <c r="L653" s="433" t="e">
        <f>L641/$L$642</f>
        <v>#REF!</v>
      </c>
      <c r="M653" s="433" t="e">
        <f>M641/R641</f>
        <v>#DIV/0!</v>
      </c>
    </row>
    <row r="654" spans="2:18">
      <c r="B654" s="376" t="s">
        <v>205</v>
      </c>
      <c r="D654" s="432" t="e">
        <f>SUM(D651:D653)</f>
        <v>#DIV/0!</v>
      </c>
      <c r="E654" s="432" t="e">
        <f t="shared" ref="E654:M654" si="57">SUM(E651:E653)</f>
        <v>#REF!</v>
      </c>
      <c r="F654" s="432" t="e">
        <f t="shared" si="57"/>
        <v>#REF!</v>
      </c>
      <c r="G654" s="432" t="e">
        <f t="shared" si="57"/>
        <v>#REF!</v>
      </c>
      <c r="H654" s="432" t="e">
        <f t="shared" si="57"/>
        <v>#REF!</v>
      </c>
      <c r="I654" s="432" t="e">
        <f t="shared" si="57"/>
        <v>#REF!</v>
      </c>
      <c r="J654" s="432" t="e">
        <f t="shared" si="57"/>
        <v>#REF!</v>
      </c>
      <c r="K654" s="432" t="e">
        <f t="shared" si="57"/>
        <v>#REF!</v>
      </c>
      <c r="L654" s="432" t="e">
        <f t="shared" si="57"/>
        <v>#REF!</v>
      </c>
      <c r="M654" s="432" t="e">
        <f t="shared" si="57"/>
        <v>#DIV/0!</v>
      </c>
      <c r="N654" s="9"/>
      <c r="O654" s="9"/>
      <c r="P654" s="9"/>
      <c r="Q654" s="9"/>
      <c r="R654" s="21"/>
    </row>
    <row r="655" spans="2:18">
      <c r="B655" s="278"/>
      <c r="C655" s="4"/>
      <c r="D655" s="10"/>
      <c r="E655" s="10"/>
      <c r="F655" s="10"/>
      <c r="G655" s="10"/>
      <c r="H655" s="10"/>
      <c r="I655" s="10"/>
      <c r="J655" s="10"/>
      <c r="K655" s="10"/>
      <c r="L655" s="10"/>
      <c r="M655" s="392"/>
      <c r="N655" s="9"/>
      <c r="O655" s="9"/>
      <c r="P655" s="9"/>
      <c r="Q655" s="9"/>
      <c r="R655" s="21"/>
    </row>
    <row r="656" spans="2:18" ht="16.5">
      <c r="B656" s="422"/>
      <c r="I656" s="9"/>
      <c r="J656" s="9"/>
      <c r="K656" s="9"/>
      <c r="L656" s="9"/>
      <c r="M656" s="9"/>
      <c r="N656" s="9"/>
      <c r="O656" s="9"/>
      <c r="P656" s="9"/>
      <c r="Q656" s="9"/>
      <c r="R656" s="21"/>
    </row>
    <row r="657" spans="2:15">
      <c r="B657" s="468" t="s">
        <v>887</v>
      </c>
      <c r="C657" s="28"/>
      <c r="D657" s="28"/>
      <c r="E657" s="28"/>
      <c r="F657" s="28"/>
      <c r="G657" s="28"/>
    </row>
    <row r="658" spans="2:15" ht="16.5">
      <c r="B658" s="422"/>
    </row>
    <row r="659" spans="2:15" ht="19.5">
      <c r="B659" s="425" t="s">
        <v>532</v>
      </c>
    </row>
    <row r="661" spans="2:15">
      <c r="B661" s="1" t="s">
        <v>888</v>
      </c>
      <c r="L661" s="33"/>
    </row>
    <row r="662" spans="2:15" ht="13.5">
      <c r="B662" s="280"/>
      <c r="C662" s="25"/>
      <c r="D662" s="281"/>
      <c r="E662" s="281"/>
      <c r="F662" s="281"/>
      <c r="G662" s="281"/>
      <c r="H662" s="281"/>
      <c r="I662" s="281"/>
      <c r="J662" s="281"/>
      <c r="K662" s="281"/>
      <c r="L662" s="281"/>
      <c r="M662" s="395" t="e">
        <f>#REF!</f>
        <v>#REF!</v>
      </c>
    </row>
    <row r="663" spans="2:15" ht="15">
      <c r="B663" s="282"/>
      <c r="C663" s="377" t="s">
        <v>336</v>
      </c>
      <c r="D663" s="245">
        <v>2008</v>
      </c>
      <c r="E663" s="245">
        <f t="shared" ref="E663:L663" si="58">D663+1</f>
        <v>2009</v>
      </c>
      <c r="F663" s="245">
        <f t="shared" si="58"/>
        <v>2010</v>
      </c>
      <c r="G663" s="245">
        <f t="shared" si="58"/>
        <v>2011</v>
      </c>
      <c r="H663" s="245">
        <f t="shared" si="58"/>
        <v>2012</v>
      </c>
      <c r="I663" s="245">
        <f t="shared" si="58"/>
        <v>2013</v>
      </c>
      <c r="J663" s="245">
        <f t="shared" si="58"/>
        <v>2014</v>
      </c>
      <c r="K663" s="245">
        <f t="shared" si="58"/>
        <v>2015</v>
      </c>
      <c r="L663" s="245">
        <f t="shared" si="58"/>
        <v>2016</v>
      </c>
      <c r="M663" s="279">
        <v>2017</v>
      </c>
      <c r="O663" s="3" t="s">
        <v>676</v>
      </c>
    </row>
    <row r="664" spans="2:15">
      <c r="B664" s="243" t="s">
        <v>630</v>
      </c>
      <c r="D664" s="23">
        <f>'18 Data for Charts'!O98</f>
        <v>0</v>
      </c>
      <c r="E664" s="23">
        <f>'18 Data for Charts'!P98</f>
        <v>0</v>
      </c>
      <c r="F664" s="23">
        <f>'18 Data for Charts'!Q98</f>
        <v>0</v>
      </c>
      <c r="G664" s="23">
        <f>'18 Data for Charts'!R98</f>
        <v>0</v>
      </c>
      <c r="H664" s="23">
        <f>'18 Data for Charts'!S98</f>
        <v>0</v>
      </c>
      <c r="I664" s="23">
        <f>'18 Data for Charts'!T98</f>
        <v>0</v>
      </c>
      <c r="J664" s="23" t="e">
        <f>'18 Data for Charts'!#REF!</f>
        <v>#REF!</v>
      </c>
      <c r="K664" s="23" t="e">
        <f>'18 Data for Charts'!#REF!</f>
        <v>#REF!</v>
      </c>
      <c r="L664" s="23" t="e">
        <f>'18 Data for Charts'!#REF!</f>
        <v>#REF!</v>
      </c>
      <c r="M664" s="396" t="e">
        <f>M629</f>
        <v>#DIV/0!</v>
      </c>
      <c r="O664" s="41" t="e">
        <f>AVERAGE(D664:L664)</f>
        <v>#REF!</v>
      </c>
    </row>
    <row r="665" spans="2:15">
      <c r="B665" s="278" t="s">
        <v>859</v>
      </c>
      <c r="C665" s="4"/>
      <c r="D665" s="48" t="e">
        <f>'2_Inc-Stat'!#REF!/'2_Inc-Stat'!#REF!</f>
        <v>#REF!</v>
      </c>
      <c r="E665" s="48" t="e">
        <f>'2_Inc-Stat'!#REF!/'2_Inc-Stat'!#REF!</f>
        <v>#REF!</v>
      </c>
      <c r="F665" s="48" t="e">
        <f>'2_Inc-Stat'!#REF!/'2_Inc-Stat'!#REF!</f>
        <v>#REF!</v>
      </c>
      <c r="G665" s="48" t="e">
        <f>'2_Inc-Stat'!#REF!/'2_Inc-Stat'!#REF!</f>
        <v>#REF!</v>
      </c>
      <c r="H665" s="48" t="e">
        <f>'2_Inc-Stat'!#REF!/'2_Inc-Stat'!#REF!</f>
        <v>#REF!</v>
      </c>
      <c r="I665" s="48" t="e">
        <f>'2_Inc-Stat'!#REF!/'2_Inc-Stat'!O4</f>
        <v>#REF!</v>
      </c>
      <c r="J665" s="48" t="e">
        <f>'2_Inc-Stat'!#REF!/'2_Inc-Stat'!P4</f>
        <v>#REF!</v>
      </c>
      <c r="K665" s="48" t="e">
        <f>'2_Inc-Stat'!#REF!/'2_Inc-Stat'!Q4</f>
        <v>#REF!</v>
      </c>
      <c r="L665" s="48" t="e">
        <f>'2_Inc-Stat'!#REF!/'2_Inc-Stat'!R4</f>
        <v>#REF!</v>
      </c>
      <c r="M665" s="250" t="e">
        <f>'2_Inc-Stat'!#REF!/'2_Inc-Stat'!T4</f>
        <v>#REF!</v>
      </c>
      <c r="O665" s="41" t="e">
        <f>AVERAGE(D665:L665)</f>
        <v>#REF!</v>
      </c>
    </row>
    <row r="666" spans="2:15">
      <c r="D666" s="19"/>
      <c r="E666" s="19"/>
      <c r="F666" s="19"/>
      <c r="G666" s="19"/>
      <c r="H666" s="19"/>
      <c r="I666" s="19"/>
      <c r="J666" s="19"/>
      <c r="K666" s="19"/>
      <c r="L666" s="19"/>
      <c r="M666" s="437"/>
    </row>
    <row r="667" spans="2:15">
      <c r="B667" t="s">
        <v>127</v>
      </c>
      <c r="D667" s="41" t="e">
        <f t="shared" ref="D667:L667" si="59">D664-D665</f>
        <v>#REF!</v>
      </c>
      <c r="E667" s="41" t="e">
        <f t="shared" si="59"/>
        <v>#REF!</v>
      </c>
      <c r="F667" s="41" t="e">
        <f t="shared" si="59"/>
        <v>#REF!</v>
      </c>
      <c r="G667" s="41" t="e">
        <f t="shared" si="59"/>
        <v>#REF!</v>
      </c>
      <c r="H667" s="41" t="e">
        <f t="shared" si="59"/>
        <v>#REF!</v>
      </c>
      <c r="I667" s="41" t="e">
        <f t="shared" si="59"/>
        <v>#REF!</v>
      </c>
      <c r="J667" s="41" t="e">
        <f t="shared" si="59"/>
        <v>#REF!</v>
      </c>
      <c r="K667" s="41" t="e">
        <f t="shared" si="59"/>
        <v>#REF!</v>
      </c>
      <c r="L667" s="41" t="e">
        <f t="shared" si="59"/>
        <v>#REF!</v>
      </c>
      <c r="O667" s="41" t="e">
        <f>O664-O665</f>
        <v>#REF!</v>
      </c>
    </row>
    <row r="716" spans="2:18" ht="16.5">
      <c r="B716" s="423" t="s">
        <v>889</v>
      </c>
      <c r="C716" s="28"/>
      <c r="D716" s="28"/>
      <c r="E716" s="28"/>
    </row>
    <row r="717" spans="2:18" ht="19.5">
      <c r="B717" s="425" t="s">
        <v>890</v>
      </c>
      <c r="G717" s="1" t="s">
        <v>768</v>
      </c>
      <c r="Q717" s="33"/>
    </row>
    <row r="718" spans="2:18" ht="16.5">
      <c r="B718" s="422"/>
      <c r="G718" s="280"/>
      <c r="H718" s="25"/>
      <c r="I718" s="281"/>
      <c r="J718" s="281"/>
      <c r="K718" s="281"/>
      <c r="L718" s="281"/>
      <c r="M718" s="281"/>
      <c r="N718" s="281"/>
      <c r="O718" s="281"/>
      <c r="P718" s="281"/>
      <c r="Q718" s="281"/>
      <c r="R718" s="395">
        <f>'X-Chart Basics'!D24</f>
        <v>42790</v>
      </c>
    </row>
    <row r="719" spans="2:18" ht="16.5">
      <c r="B719" s="422"/>
      <c r="G719" s="282">
        <v>1000</v>
      </c>
      <c r="H719" s="46" t="s">
        <v>43</v>
      </c>
      <c r="I719" s="245">
        <v>2008</v>
      </c>
      <c r="J719" s="245">
        <f t="shared" ref="J719:Q719" si="60">I719+1</f>
        <v>2009</v>
      </c>
      <c r="K719" s="245">
        <f t="shared" si="60"/>
        <v>2010</v>
      </c>
      <c r="L719" s="245">
        <f t="shared" si="60"/>
        <v>2011</v>
      </c>
      <c r="M719" s="245">
        <f t="shared" si="60"/>
        <v>2012</v>
      </c>
      <c r="N719" s="245">
        <f t="shared" si="60"/>
        <v>2013</v>
      </c>
      <c r="O719" s="245">
        <f t="shared" si="60"/>
        <v>2014</v>
      </c>
      <c r="P719" s="245">
        <f t="shared" si="60"/>
        <v>2015</v>
      </c>
      <c r="Q719" s="245">
        <f t="shared" si="60"/>
        <v>2016</v>
      </c>
      <c r="R719" s="279">
        <v>2017</v>
      </c>
    </row>
    <row r="720" spans="2:18">
      <c r="G720" s="243" t="s">
        <v>630</v>
      </c>
      <c r="I720" s="246">
        <f>'18 Data for Charts'!K314/1000</f>
        <v>0</v>
      </c>
      <c r="J720" s="246">
        <f>'18 Data for Charts'!L314/1000</f>
        <v>0</v>
      </c>
      <c r="K720" s="246">
        <f>'18 Data for Charts'!M314/1000</f>
        <v>0</v>
      </c>
      <c r="L720" s="246">
        <f>'18 Data for Charts'!N314/1000</f>
        <v>0</v>
      </c>
      <c r="M720" s="246">
        <f>'18 Data for Charts'!O314/1000</f>
        <v>0</v>
      </c>
      <c r="N720" s="246">
        <f>'18 Data for Charts'!P314/1000</f>
        <v>0</v>
      </c>
      <c r="O720" s="246" t="e">
        <f>'18 Data for Charts'!#REF!/1000</f>
        <v>#REF!</v>
      </c>
      <c r="P720" s="246" t="e">
        <f>'18 Data for Charts'!#REF!/1000</f>
        <v>#REF!</v>
      </c>
      <c r="Q720" s="246" t="e">
        <f>'18 Data for Charts'!#REF!/1000</f>
        <v>#REF!</v>
      </c>
      <c r="R720" s="396">
        <v>0</v>
      </c>
    </row>
    <row r="721" spans="7:18">
      <c r="G721" s="278" t="s">
        <v>859</v>
      </c>
      <c r="H721" s="4"/>
      <c r="I721" s="10">
        <f>'18 Data for Charts'!K292/1000</f>
        <v>0</v>
      </c>
      <c r="J721" s="10">
        <f>'18 Data for Charts'!L292/1000</f>
        <v>0</v>
      </c>
      <c r="K721" s="10">
        <f>'18 Data for Charts'!M292/1000</f>
        <v>0</v>
      </c>
      <c r="L721" s="10">
        <f>'18 Data for Charts'!N292/1000</f>
        <v>0</v>
      </c>
      <c r="M721" s="10">
        <f>'18 Data for Charts'!O292/1000</f>
        <v>0</v>
      </c>
      <c r="N721" s="10">
        <f>'18 Data for Charts'!P292/1000</f>
        <v>0</v>
      </c>
      <c r="O721" s="10" t="e">
        <f>'18 Data for Charts'!#REF!/1000</f>
        <v>#REF!</v>
      </c>
      <c r="P721" s="10" t="e">
        <f>'18 Data for Charts'!#REF!/1000</f>
        <v>#REF!</v>
      </c>
      <c r="Q721" s="10" t="e">
        <f>'18 Data for Charts'!#REF!/1000</f>
        <v>#REF!</v>
      </c>
      <c r="R721" s="392"/>
    </row>
  </sheetData>
  <customSheetViews>
    <customSheetView guid="{5826E3E6-173D-429F-ABE1-D868EE9E034B}">
      <selection activeCell="N11" sqref="N11"/>
      <pageMargins left="0" right="0" top="0" bottom="0" header="0" footer="0"/>
      <pageSetup paperSize="0" orientation="portrait" horizontalDpi="0" verticalDpi="0" copies="0" r:id="rId1"/>
    </customSheetView>
  </customSheetViews>
  <pageMargins left="0.70866141732283472" right="0.70866141732283472" top="0.74803149606299213" bottom="0.74803149606299213" header="0.31496062992125984" footer="0.31496062992125984"/>
  <pageSetup paperSize="9" scale="67" orientation="landscape" horizontalDpi="0" verticalDpi="0" r:id="rId2"/>
  <headerFooter>
    <oddHeader>&amp;L&amp;8&amp;D&amp;C&amp;8DRAFT&amp;R&amp;8&amp;A</oddHead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A174"/>
  <sheetViews>
    <sheetView workbookViewId="0">
      <selection sqref="A1:D1"/>
    </sheetView>
  </sheetViews>
  <sheetFormatPr defaultRowHeight="12.75"/>
  <cols>
    <col min="1" max="1" width="1" customWidth="1"/>
    <col min="2" max="2" width="11" customWidth="1"/>
  </cols>
  <sheetData>
    <row r="1" spans="1:27" ht="94.5" customHeight="1">
      <c r="A1" s="1626" t="s">
        <v>193</v>
      </c>
      <c r="B1" s="1627"/>
      <c r="C1" s="1627"/>
      <c r="D1" s="1627"/>
      <c r="E1" s="948" t="e">
        <f>#REF!</f>
        <v>#REF!</v>
      </c>
      <c r="F1" s="862"/>
      <c r="G1" s="862"/>
      <c r="H1" s="862"/>
      <c r="I1" s="1625"/>
      <c r="J1" s="1625"/>
      <c r="K1" s="1625"/>
      <c r="L1" s="862"/>
      <c r="M1" s="751"/>
      <c r="N1" s="751"/>
      <c r="O1" s="684"/>
      <c r="P1" s="684"/>
      <c r="Q1" s="684"/>
      <c r="R1" s="684"/>
      <c r="S1" s="684"/>
      <c r="T1" s="684"/>
      <c r="U1" s="684"/>
      <c r="V1" s="684"/>
      <c r="W1" s="684"/>
      <c r="X1" s="751"/>
      <c r="Y1" s="751"/>
      <c r="Z1" s="751" t="e">
        <f>#REF!</f>
        <v>#REF!</v>
      </c>
      <c r="AA1" s="857"/>
    </row>
    <row r="2" spans="1:27">
      <c r="A2" s="811" t="s">
        <v>129</v>
      </c>
      <c r="B2" s="232"/>
      <c r="C2" s="481"/>
      <c r="D2" s="233"/>
      <c r="E2" s="34">
        <v>0</v>
      </c>
      <c r="F2" s="34">
        <f>E2+1</f>
        <v>1</v>
      </c>
      <c r="G2" s="34">
        <f t="shared" ref="G2:V3" si="0">F2+1</f>
        <v>2</v>
      </c>
      <c r="H2" s="34">
        <f t="shared" si="0"/>
        <v>3</v>
      </c>
      <c r="I2" s="34">
        <f t="shared" si="0"/>
        <v>4</v>
      </c>
      <c r="J2" s="34">
        <f t="shared" si="0"/>
        <v>5</v>
      </c>
      <c r="K2" s="34">
        <f t="shared" si="0"/>
        <v>6</v>
      </c>
      <c r="L2" s="34">
        <f t="shared" si="0"/>
        <v>7</v>
      </c>
      <c r="M2" s="34">
        <f t="shared" si="0"/>
        <v>8</v>
      </c>
      <c r="N2" s="34">
        <f t="shared" si="0"/>
        <v>9</v>
      </c>
      <c r="O2" s="34">
        <f t="shared" si="0"/>
        <v>10</v>
      </c>
      <c r="P2" s="34">
        <f t="shared" si="0"/>
        <v>11</v>
      </c>
      <c r="Q2" s="34">
        <f t="shared" si="0"/>
        <v>12</v>
      </c>
      <c r="R2" s="34">
        <f t="shared" si="0"/>
        <v>13</v>
      </c>
      <c r="S2" s="34">
        <f t="shared" si="0"/>
        <v>14</v>
      </c>
      <c r="T2" s="34">
        <f t="shared" si="0"/>
        <v>15</v>
      </c>
      <c r="U2" s="34">
        <f t="shared" si="0"/>
        <v>16</v>
      </c>
      <c r="V2" s="34">
        <f t="shared" si="0"/>
        <v>17</v>
      </c>
      <c r="W2" s="34">
        <f t="shared" ref="W2:Z3" si="1">V2+1</f>
        <v>18</v>
      </c>
      <c r="X2" s="34">
        <f t="shared" si="1"/>
        <v>19</v>
      </c>
      <c r="Y2" s="34">
        <f t="shared" si="1"/>
        <v>20</v>
      </c>
      <c r="Z2" s="34">
        <f t="shared" si="1"/>
        <v>21</v>
      </c>
      <c r="AA2" s="547"/>
    </row>
    <row r="3" spans="1:27">
      <c r="A3" s="34"/>
      <c r="B3" s="34"/>
      <c r="C3" s="34"/>
      <c r="D3" s="46" t="s">
        <v>44</v>
      </c>
      <c r="E3" s="790">
        <v>1999</v>
      </c>
      <c r="F3" s="906">
        <f>E3+1</f>
        <v>2000</v>
      </c>
      <c r="G3" s="906">
        <f t="shared" si="0"/>
        <v>2001</v>
      </c>
      <c r="H3" s="906">
        <f t="shared" si="0"/>
        <v>2002</v>
      </c>
      <c r="I3" s="906">
        <f t="shared" si="0"/>
        <v>2003</v>
      </c>
      <c r="J3" s="906">
        <f t="shared" si="0"/>
        <v>2004</v>
      </c>
      <c r="K3" s="906">
        <f t="shared" si="0"/>
        <v>2005</v>
      </c>
      <c r="L3" s="906">
        <f t="shared" si="0"/>
        <v>2006</v>
      </c>
      <c r="M3" s="906">
        <f t="shared" si="0"/>
        <v>2007</v>
      </c>
      <c r="N3" s="906">
        <f t="shared" si="0"/>
        <v>2008</v>
      </c>
      <c r="O3" s="906">
        <f t="shared" si="0"/>
        <v>2009</v>
      </c>
      <c r="P3" s="906">
        <f t="shared" si="0"/>
        <v>2010</v>
      </c>
      <c r="Q3" s="906">
        <f t="shared" si="0"/>
        <v>2011</v>
      </c>
      <c r="R3" s="906">
        <f t="shared" si="0"/>
        <v>2012</v>
      </c>
      <c r="S3" s="906">
        <f t="shared" si="0"/>
        <v>2013</v>
      </c>
      <c r="T3" s="906">
        <f t="shared" si="0"/>
        <v>2014</v>
      </c>
      <c r="U3" s="906">
        <f t="shared" si="0"/>
        <v>2015</v>
      </c>
      <c r="V3" s="906">
        <f t="shared" si="0"/>
        <v>2016</v>
      </c>
      <c r="W3" s="906">
        <f t="shared" si="1"/>
        <v>2017</v>
      </c>
      <c r="X3" s="906">
        <f t="shared" si="1"/>
        <v>2018</v>
      </c>
      <c r="Y3" s="906">
        <f t="shared" si="1"/>
        <v>2019</v>
      </c>
      <c r="Z3" s="906">
        <f t="shared" si="1"/>
        <v>2020</v>
      </c>
      <c r="AA3" s="547"/>
    </row>
    <row r="4" spans="1:27">
      <c r="A4" s="34"/>
      <c r="B4" s="801" t="s">
        <v>744</v>
      </c>
      <c r="C4" s="802"/>
      <c r="D4" s="806"/>
      <c r="E4" s="43"/>
      <c r="F4" s="43"/>
      <c r="G4" s="43"/>
      <c r="H4" s="43"/>
      <c r="I4" s="43"/>
      <c r="J4" s="43"/>
      <c r="K4" s="43"/>
      <c r="L4" s="43"/>
      <c r="M4" s="43"/>
      <c r="N4" s="43"/>
      <c r="O4" s="43"/>
      <c r="P4" s="43"/>
      <c r="Q4" s="43"/>
      <c r="R4" s="43"/>
      <c r="S4" s="43"/>
      <c r="T4" s="43"/>
      <c r="U4" s="43"/>
      <c r="V4" s="43"/>
      <c r="W4" s="43"/>
      <c r="X4" s="43"/>
      <c r="Y4" s="43"/>
      <c r="Z4" s="34"/>
    </row>
    <row r="5" spans="1:27">
      <c r="A5" s="34"/>
      <c r="B5" s="34"/>
      <c r="C5" s="34"/>
      <c r="D5" s="34"/>
      <c r="E5" s="34"/>
      <c r="F5" s="34"/>
      <c r="G5" s="34"/>
      <c r="H5" s="34"/>
      <c r="I5" s="34"/>
      <c r="J5" s="34"/>
      <c r="K5" s="34"/>
      <c r="L5" s="34"/>
      <c r="M5" s="34"/>
      <c r="N5" s="34"/>
      <c r="O5" s="34"/>
      <c r="P5" s="34"/>
      <c r="Q5" s="34"/>
      <c r="R5" s="34"/>
      <c r="S5" s="34"/>
      <c r="T5" s="34"/>
      <c r="U5" s="34"/>
      <c r="V5" s="34"/>
      <c r="W5" s="34"/>
      <c r="X5" s="34"/>
      <c r="Y5" s="34"/>
      <c r="Z5" s="34"/>
    </row>
    <row r="6" spans="1:27" ht="13.5">
      <c r="A6" s="34"/>
      <c r="B6" s="609">
        <f ca="1">NOW()</f>
        <v>44595.448909606479</v>
      </c>
      <c r="C6" s="305"/>
      <c r="D6" s="305"/>
      <c r="E6" s="305"/>
      <c r="F6" s="305"/>
      <c r="G6" s="305"/>
      <c r="H6" s="305"/>
      <c r="I6" s="305"/>
      <c r="J6" s="305"/>
      <c r="K6" s="305"/>
      <c r="L6" s="305"/>
      <c r="M6" s="305"/>
      <c r="N6" s="305"/>
      <c r="O6" s="305"/>
      <c r="P6" s="305"/>
      <c r="Q6" s="305"/>
      <c r="R6" s="305"/>
      <c r="S6" s="34"/>
      <c r="T6" s="34"/>
      <c r="U6" s="34"/>
      <c r="V6" s="34"/>
      <c r="W6" s="34"/>
      <c r="X6" s="34"/>
      <c r="Y6" s="34"/>
      <c r="Z6" s="34"/>
    </row>
    <row r="7" spans="1:27" ht="13.5">
      <c r="A7" s="34"/>
      <c r="B7" s="907" t="s">
        <v>891</v>
      </c>
      <c r="C7" s="907">
        <v>9</v>
      </c>
      <c r="D7" s="908">
        <v>42774</v>
      </c>
      <c r="E7" s="305"/>
      <c r="F7" s="305" t="s">
        <v>892</v>
      </c>
      <c r="G7" s="305"/>
      <c r="H7" s="34"/>
      <c r="I7" s="907">
        <v>9</v>
      </c>
      <c r="J7" s="305" t="s">
        <v>667</v>
      </c>
      <c r="K7" s="305"/>
      <c r="L7" s="305" t="s">
        <v>630</v>
      </c>
      <c r="M7" s="907">
        <v>11</v>
      </c>
      <c r="N7" s="909" t="s">
        <v>893</v>
      </c>
      <c r="O7" s="305" t="s">
        <v>894</v>
      </c>
      <c r="P7" s="305" t="s">
        <v>895</v>
      </c>
      <c r="Q7" s="305"/>
      <c r="R7" s="305"/>
      <c r="S7" s="34"/>
      <c r="T7" s="34"/>
      <c r="U7" s="34"/>
      <c r="V7" s="34"/>
      <c r="W7" s="34"/>
      <c r="X7" s="34"/>
      <c r="Y7" s="34"/>
      <c r="Z7" s="34"/>
    </row>
    <row r="8" spans="1:27" ht="13.5">
      <c r="A8" s="34"/>
      <c r="B8" s="907" t="s">
        <v>896</v>
      </c>
      <c r="C8" s="907">
        <v>9</v>
      </c>
      <c r="D8" s="908">
        <v>42778</v>
      </c>
      <c r="E8" s="305"/>
      <c r="F8" s="305" t="s">
        <v>673</v>
      </c>
      <c r="G8" s="305"/>
      <c r="H8" s="34"/>
      <c r="I8" s="907">
        <v>9</v>
      </c>
      <c r="J8" s="305" t="s">
        <v>666</v>
      </c>
      <c r="K8" s="305"/>
      <c r="L8" s="305" t="s">
        <v>859</v>
      </c>
      <c r="M8" s="907">
        <v>11</v>
      </c>
      <c r="N8" s="305" t="s">
        <v>897</v>
      </c>
      <c r="O8" s="305" t="s">
        <v>898</v>
      </c>
      <c r="P8" s="296"/>
      <c r="Q8" s="305"/>
      <c r="R8" s="305"/>
      <c r="S8" s="34"/>
      <c r="T8" s="34"/>
      <c r="U8" s="34"/>
      <c r="V8" s="34"/>
      <c r="W8" s="34"/>
      <c r="X8" s="34"/>
      <c r="Y8" s="34"/>
      <c r="Z8" s="34"/>
    </row>
    <row r="9" spans="1:27" ht="13.5">
      <c r="A9" s="34"/>
      <c r="B9" s="907" t="s">
        <v>899</v>
      </c>
      <c r="C9" s="907">
        <v>9</v>
      </c>
      <c r="D9" s="305" t="s">
        <v>42</v>
      </c>
      <c r="E9" s="305"/>
      <c r="F9" s="305" t="s">
        <v>900</v>
      </c>
      <c r="G9" s="305"/>
      <c r="H9" s="34"/>
      <c r="I9" s="907">
        <v>9</v>
      </c>
      <c r="J9" s="34"/>
      <c r="K9" s="34"/>
      <c r="L9" s="34"/>
      <c r="M9" s="34"/>
      <c r="N9" s="910" t="s">
        <v>901</v>
      </c>
      <c r="O9" s="305"/>
      <c r="P9" s="305"/>
      <c r="Q9" s="305"/>
      <c r="R9" s="305"/>
      <c r="S9" s="34"/>
      <c r="T9" s="34"/>
      <c r="U9" s="34"/>
      <c r="V9" s="34"/>
      <c r="W9" s="34"/>
      <c r="X9" s="34"/>
      <c r="Y9" s="34"/>
      <c r="Z9" s="34"/>
    </row>
    <row r="10" spans="1:27" ht="13.5">
      <c r="A10" s="34"/>
      <c r="B10" s="907"/>
      <c r="C10" s="907">
        <v>9</v>
      </c>
      <c r="D10" s="911" t="s">
        <v>902</v>
      </c>
      <c r="E10" s="305"/>
      <c r="F10" s="305" t="s">
        <v>903</v>
      </c>
      <c r="G10" s="305"/>
      <c r="H10" s="34"/>
      <c r="I10" s="907">
        <v>11</v>
      </c>
      <c r="J10" s="912"/>
      <c r="K10" s="34"/>
      <c r="L10" s="34"/>
      <c r="M10" s="34"/>
      <c r="N10" s="34"/>
      <c r="O10" s="305"/>
      <c r="P10" s="305"/>
      <c r="Q10" s="305"/>
      <c r="R10" s="305"/>
      <c r="S10" s="34"/>
      <c r="T10" s="34"/>
      <c r="U10" s="34"/>
      <c r="V10" s="34"/>
      <c r="W10" s="34"/>
      <c r="X10" s="34"/>
      <c r="Y10" s="34"/>
      <c r="Z10" s="34"/>
    </row>
    <row r="11" spans="1:27" ht="13.5">
      <c r="A11" s="34"/>
      <c r="B11" s="907"/>
      <c r="C11" s="907">
        <v>9</v>
      </c>
      <c r="D11" s="305" t="s">
        <v>904</v>
      </c>
      <c r="E11" s="305"/>
      <c r="F11" s="305" t="s">
        <v>905</v>
      </c>
      <c r="G11" s="305"/>
      <c r="H11" s="34"/>
      <c r="I11" s="907">
        <v>9</v>
      </c>
      <c r="J11" s="34"/>
      <c r="K11" s="34"/>
      <c r="L11" s="34"/>
      <c r="M11" s="34"/>
      <c r="N11" s="305"/>
      <c r="O11" s="305"/>
      <c r="P11" s="305"/>
      <c r="Q11" s="305"/>
      <c r="R11" s="305"/>
      <c r="S11" s="34"/>
      <c r="T11" s="34"/>
      <c r="U11" s="34"/>
      <c r="V11" s="34"/>
      <c r="W11" s="34"/>
      <c r="X11" s="34"/>
      <c r="Y11" s="34"/>
      <c r="Z11" s="34"/>
    </row>
    <row r="12" spans="1:27" ht="13.5">
      <c r="A12" s="34"/>
      <c r="B12" s="907"/>
      <c r="C12" s="907">
        <v>9</v>
      </c>
      <c r="D12" s="305" t="s">
        <v>906</v>
      </c>
      <c r="E12" s="305"/>
      <c r="F12" s="305" t="s">
        <v>796</v>
      </c>
      <c r="G12" s="305"/>
      <c r="H12" s="34" t="s">
        <v>336</v>
      </c>
      <c r="I12" s="907">
        <v>9</v>
      </c>
      <c r="J12" s="34"/>
      <c r="K12" s="34"/>
      <c r="L12" s="34"/>
      <c r="M12" s="34"/>
      <c r="N12" s="305"/>
      <c r="O12" s="305"/>
      <c r="P12" s="305"/>
      <c r="Q12" s="305"/>
      <c r="R12" s="305"/>
      <c r="S12" s="34"/>
      <c r="T12" s="34"/>
      <c r="U12" s="34"/>
      <c r="V12" s="34"/>
      <c r="W12" s="34"/>
      <c r="X12" s="34"/>
      <c r="Y12" s="34"/>
      <c r="Z12" s="34"/>
    </row>
    <row r="13" spans="1:27" ht="13.5">
      <c r="A13" s="34"/>
      <c r="B13" s="907"/>
      <c r="C13" s="907"/>
      <c r="D13" s="492">
        <v>42790</v>
      </c>
      <c r="E13" s="305"/>
      <c r="F13" s="305" t="s">
        <v>907</v>
      </c>
      <c r="G13" s="305"/>
      <c r="H13" s="34"/>
      <c r="I13" s="907">
        <v>9</v>
      </c>
      <c r="J13" s="34"/>
      <c r="K13" s="34"/>
      <c r="L13" s="34"/>
      <c r="M13" s="34"/>
      <c r="N13" s="305"/>
      <c r="O13" s="305"/>
      <c r="P13" s="305"/>
      <c r="Q13" s="305"/>
      <c r="R13" s="305"/>
      <c r="S13" s="34"/>
      <c r="T13" s="34"/>
      <c r="U13" s="34"/>
      <c r="V13" s="34"/>
      <c r="W13" s="34"/>
      <c r="X13" s="34"/>
      <c r="Y13" s="34"/>
      <c r="Z13" s="34"/>
    </row>
    <row r="14" spans="1:27" ht="13.5">
      <c r="A14" s="34"/>
      <c r="B14" s="43"/>
      <c r="C14" s="43"/>
      <c r="D14" s="43"/>
      <c r="E14" s="43"/>
      <c r="F14" s="913" t="s">
        <v>534</v>
      </c>
      <c r="G14" s="309"/>
      <c r="H14" s="43"/>
      <c r="I14" s="914">
        <v>14</v>
      </c>
      <c r="J14" s="43"/>
      <c r="K14" s="309"/>
      <c r="L14" s="43"/>
      <c r="M14" s="43"/>
      <c r="N14" s="43"/>
      <c r="O14" s="43"/>
      <c r="P14" s="43"/>
      <c r="Q14" s="43"/>
      <c r="R14" s="43"/>
      <c r="S14" s="34"/>
      <c r="T14" s="34"/>
      <c r="U14" s="34"/>
      <c r="V14" s="34"/>
      <c r="W14" s="34"/>
      <c r="X14" s="34"/>
      <c r="Y14" s="34"/>
      <c r="Z14" s="34"/>
    </row>
    <row r="15" spans="1:27">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7" ht="13.5">
      <c r="A16" s="34"/>
      <c r="B16" s="915" t="s">
        <v>889</v>
      </c>
      <c r="C16" s="916"/>
      <c r="D16" s="916"/>
      <c r="E16" s="916"/>
      <c r="F16" s="34"/>
      <c r="G16" s="34"/>
      <c r="H16" s="34"/>
      <c r="I16" s="34"/>
      <c r="J16" s="34"/>
      <c r="K16" s="34"/>
      <c r="L16" s="34"/>
      <c r="M16" s="34"/>
      <c r="N16" s="34"/>
      <c r="O16" s="34"/>
      <c r="P16" s="34"/>
      <c r="Q16" s="34"/>
      <c r="R16" s="34"/>
      <c r="S16" s="34"/>
      <c r="T16" s="34"/>
      <c r="U16" s="34"/>
      <c r="V16" s="34"/>
      <c r="W16" s="34"/>
      <c r="X16" s="34"/>
      <c r="Y16" s="34"/>
      <c r="Z16" s="34"/>
    </row>
    <row r="17" spans="1:26" ht="13.5">
      <c r="A17" s="34"/>
      <c r="B17" s="917" t="s">
        <v>495</v>
      </c>
      <c r="C17" s="34"/>
      <c r="D17" s="34"/>
      <c r="E17" s="34"/>
      <c r="F17" s="34"/>
      <c r="G17" s="613" t="s">
        <v>768</v>
      </c>
      <c r="H17" s="34"/>
      <c r="I17" s="34"/>
      <c r="J17" s="34"/>
      <c r="K17" s="34"/>
      <c r="L17" s="34"/>
      <c r="M17" s="34"/>
      <c r="N17" s="34"/>
      <c r="O17" s="34"/>
      <c r="P17" s="34"/>
      <c r="Q17" s="756"/>
      <c r="R17" s="34"/>
      <c r="S17" s="34"/>
      <c r="T17" s="34"/>
      <c r="U17" s="34"/>
      <c r="V17" s="34"/>
      <c r="W17" s="34"/>
      <c r="X17" s="34"/>
      <c r="Y17" s="34"/>
      <c r="Z17" s="34"/>
    </row>
    <row r="18" spans="1:26" ht="13.5">
      <c r="A18" s="34"/>
      <c r="B18" s="918"/>
      <c r="C18" s="34"/>
      <c r="D18" s="34"/>
      <c r="E18" s="34"/>
      <c r="F18" s="34"/>
      <c r="G18" s="328"/>
      <c r="H18" s="281"/>
      <c r="I18" s="281"/>
      <c r="J18" s="281"/>
      <c r="K18" s="281"/>
      <c r="L18" s="281"/>
      <c r="M18" s="281"/>
      <c r="N18" s="281"/>
      <c r="O18" s="281"/>
      <c r="P18" s="281"/>
      <c r="Q18" s="281"/>
      <c r="R18" s="395">
        <f>'X-Chart Basics'!D24</f>
        <v>42790</v>
      </c>
      <c r="S18" s="34"/>
      <c r="T18" s="34"/>
      <c r="U18" s="34"/>
      <c r="V18" s="34"/>
      <c r="W18" s="34"/>
      <c r="X18" s="34"/>
      <c r="Y18" s="34"/>
      <c r="Z18" s="34"/>
    </row>
    <row r="19" spans="1:26" ht="13.5">
      <c r="A19" s="34"/>
      <c r="B19" s="918"/>
      <c r="C19" s="34"/>
      <c r="D19" s="34"/>
      <c r="E19" s="34"/>
      <c r="F19" s="34"/>
      <c r="G19" s="282"/>
      <c r="H19" s="46" t="s">
        <v>336</v>
      </c>
      <c r="I19" s="340">
        <v>2013</v>
      </c>
      <c r="J19" s="340">
        <f t="shared" ref="J19:N19" si="2">I19+1</f>
        <v>2014</v>
      </c>
      <c r="K19" s="340">
        <f t="shared" si="2"/>
        <v>2015</v>
      </c>
      <c r="L19" s="340">
        <f t="shared" si="2"/>
        <v>2016</v>
      </c>
      <c r="M19" s="340">
        <f t="shared" si="2"/>
        <v>2017</v>
      </c>
      <c r="N19" s="340">
        <f t="shared" si="2"/>
        <v>2018</v>
      </c>
      <c r="O19" s="340"/>
      <c r="P19" s="340"/>
      <c r="Q19" s="340"/>
      <c r="R19" s="919"/>
      <c r="S19" s="34"/>
      <c r="T19" s="34"/>
      <c r="U19" s="34"/>
      <c r="V19" s="34"/>
      <c r="W19" s="34"/>
      <c r="X19" s="34"/>
      <c r="Y19" s="34"/>
      <c r="Z19" s="34"/>
    </row>
    <row r="20" spans="1:26" ht="13.5">
      <c r="A20" s="34"/>
      <c r="B20" s="918"/>
      <c r="C20" s="34"/>
      <c r="D20" s="34"/>
      <c r="E20" s="34"/>
      <c r="F20" s="34"/>
      <c r="G20" s="331" t="s">
        <v>630</v>
      </c>
      <c r="H20" s="34"/>
      <c r="I20" s="332">
        <f>'18 Data for Charts'!K242/1000</f>
        <v>0</v>
      </c>
      <c r="J20" s="332">
        <f>'18 Data for Charts'!L242/1000</f>
        <v>0</v>
      </c>
      <c r="K20" s="332">
        <f>'18 Data for Charts'!M242/1000</f>
        <v>0</v>
      </c>
      <c r="L20" s="332">
        <f>'18 Data for Charts'!N242/1000</f>
        <v>0</v>
      </c>
      <c r="M20" s="332">
        <f>'18 Data for Charts'!O242/1000</f>
        <v>0</v>
      </c>
      <c r="N20" s="332">
        <f>'18 Data for Charts'!P242/1000</f>
        <v>0</v>
      </c>
      <c r="O20" s="332"/>
      <c r="P20" s="332"/>
      <c r="Q20" s="332"/>
      <c r="R20" s="467"/>
      <c r="S20" s="34"/>
      <c r="T20" s="34"/>
      <c r="U20" s="34"/>
      <c r="V20" s="34"/>
      <c r="W20" s="34"/>
      <c r="X20" s="34"/>
      <c r="Y20" s="34"/>
      <c r="Z20" s="34"/>
    </row>
    <row r="21" spans="1:26" ht="13.5">
      <c r="A21" s="34"/>
      <c r="B21" s="918"/>
      <c r="C21" s="34"/>
      <c r="D21" s="34"/>
      <c r="E21" s="34"/>
      <c r="F21" s="34"/>
      <c r="G21" s="920" t="s">
        <v>859</v>
      </c>
      <c r="H21" s="43"/>
      <c r="I21" s="702">
        <f>'18 Data for Charts'!K220/1000</f>
        <v>0</v>
      </c>
      <c r="J21" s="702">
        <f>'18 Data for Charts'!L220/1000</f>
        <v>0</v>
      </c>
      <c r="K21" s="702">
        <f>'18 Data for Charts'!M220/1000</f>
        <v>0</v>
      </c>
      <c r="L21" s="702">
        <f>'18 Data for Charts'!N220/1000</f>
        <v>0</v>
      </c>
      <c r="M21" s="702">
        <f>'18 Data for Charts'!O220/1000</f>
        <v>0</v>
      </c>
      <c r="N21" s="702">
        <f>'18 Data for Charts'!P220/1000</f>
        <v>0</v>
      </c>
      <c r="O21" s="702"/>
      <c r="P21" s="702"/>
      <c r="Q21" s="702"/>
      <c r="R21" s="921"/>
      <c r="S21" s="34"/>
      <c r="T21" s="34"/>
      <c r="U21" s="34"/>
      <c r="V21" s="34"/>
      <c r="W21" s="34"/>
      <c r="X21" s="34"/>
      <c r="Y21" s="34"/>
      <c r="Z21" s="34"/>
    </row>
    <row r="22" spans="1:26" ht="13.5">
      <c r="A22" s="34"/>
      <c r="B22" s="918"/>
      <c r="C22" s="34"/>
      <c r="D22" s="34"/>
      <c r="E22" s="34"/>
      <c r="F22" s="34"/>
      <c r="G22" s="34"/>
      <c r="H22" s="34"/>
      <c r="I22" s="34"/>
      <c r="J22" s="34"/>
      <c r="K22" s="34"/>
      <c r="L22" s="34"/>
      <c r="M22" s="34"/>
      <c r="N22" s="34"/>
      <c r="O22" s="34"/>
      <c r="P22" s="34"/>
      <c r="Q22" s="34"/>
      <c r="R22" s="34"/>
      <c r="S22" s="34"/>
      <c r="T22" s="34"/>
      <c r="U22" s="34"/>
      <c r="V22" s="34"/>
      <c r="W22" s="34"/>
      <c r="X22" s="34"/>
      <c r="Y22" s="34"/>
      <c r="Z22" s="34"/>
    </row>
    <row r="23" spans="1:26" ht="13.5">
      <c r="A23" s="34"/>
      <c r="B23" s="915" t="s">
        <v>889</v>
      </c>
      <c r="C23" s="916"/>
      <c r="D23" s="916"/>
      <c r="E23" s="916"/>
      <c r="F23" s="34"/>
      <c r="G23" s="34"/>
      <c r="H23" s="34"/>
      <c r="I23" s="34"/>
      <c r="J23" s="34"/>
      <c r="K23" s="34"/>
      <c r="L23" s="34"/>
      <c r="M23" s="34"/>
      <c r="N23" s="34"/>
      <c r="O23" s="34"/>
      <c r="P23" s="34"/>
      <c r="Q23" s="34"/>
      <c r="R23" s="34"/>
      <c r="S23" s="34"/>
      <c r="T23" s="34"/>
      <c r="U23" s="34"/>
      <c r="V23" s="34"/>
      <c r="W23" s="34"/>
      <c r="X23" s="34"/>
      <c r="Y23" s="34"/>
      <c r="Z23" s="34"/>
    </row>
    <row r="24" spans="1:26" ht="13.5">
      <c r="A24" s="34"/>
      <c r="B24" s="917" t="s">
        <v>908</v>
      </c>
      <c r="C24" s="34"/>
      <c r="D24" s="34"/>
      <c r="E24" s="34"/>
      <c r="F24" s="34"/>
      <c r="G24" s="613" t="s">
        <v>768</v>
      </c>
      <c r="H24" s="34"/>
      <c r="I24" s="34"/>
      <c r="J24" s="34"/>
      <c r="K24" s="34"/>
      <c r="L24" s="34"/>
      <c r="M24" s="34"/>
      <c r="N24" s="34"/>
      <c r="O24" s="34"/>
      <c r="P24" s="34"/>
      <c r="Q24" s="756"/>
      <c r="R24" s="34"/>
      <c r="S24" s="34"/>
      <c r="T24" s="34"/>
      <c r="U24" s="34"/>
      <c r="V24" s="34"/>
      <c r="W24" s="34"/>
      <c r="X24" s="34"/>
      <c r="Y24" s="34"/>
      <c r="Z24" s="34"/>
    </row>
    <row r="25" spans="1:26" ht="13.5">
      <c r="A25" s="34"/>
      <c r="B25" s="918"/>
      <c r="C25" s="34"/>
      <c r="D25" s="34"/>
      <c r="E25" s="34"/>
      <c r="F25" s="34"/>
      <c r="G25" s="328"/>
      <c r="H25" s="281"/>
      <c r="I25" s="281"/>
      <c r="J25" s="281"/>
      <c r="K25" s="281"/>
      <c r="L25" s="281"/>
      <c r="M25" s="281"/>
      <c r="N25" s="281"/>
      <c r="O25" s="281"/>
      <c r="P25" s="281"/>
      <c r="Q25" s="281"/>
      <c r="R25" s="395">
        <f>'X-Chart Basics'!D24</f>
        <v>42790</v>
      </c>
      <c r="S25" s="34"/>
      <c r="T25" s="34"/>
      <c r="U25" s="34"/>
      <c r="V25" s="34"/>
      <c r="W25" s="34"/>
      <c r="X25" s="34"/>
      <c r="Y25" s="34"/>
      <c r="Z25" s="34"/>
    </row>
    <row r="26" spans="1:26" ht="13.5">
      <c r="A26" s="34"/>
      <c r="B26" s="918"/>
      <c r="C26" s="34"/>
      <c r="D26" s="34"/>
      <c r="E26" s="34"/>
      <c r="F26" s="34"/>
      <c r="G26" s="282"/>
      <c r="H26" s="46" t="s">
        <v>336</v>
      </c>
      <c r="I26" s="340">
        <v>2013</v>
      </c>
      <c r="J26" s="340">
        <f t="shared" ref="J26:Q26" si="3">I26+1</f>
        <v>2014</v>
      </c>
      <c r="K26" s="340">
        <f t="shared" si="3"/>
        <v>2015</v>
      </c>
      <c r="L26" s="340">
        <f t="shared" si="3"/>
        <v>2016</v>
      </c>
      <c r="M26" s="340">
        <f t="shared" si="3"/>
        <v>2017</v>
      </c>
      <c r="N26" s="340">
        <f t="shared" si="3"/>
        <v>2018</v>
      </c>
      <c r="O26" s="340">
        <f t="shared" si="3"/>
        <v>2019</v>
      </c>
      <c r="P26" s="340">
        <f t="shared" si="3"/>
        <v>2020</v>
      </c>
      <c r="Q26" s="340">
        <f t="shared" si="3"/>
        <v>2021</v>
      </c>
      <c r="R26" s="919">
        <v>2017</v>
      </c>
      <c r="S26" s="34"/>
      <c r="T26" s="34"/>
      <c r="U26" s="34"/>
      <c r="V26" s="34"/>
      <c r="W26" s="34"/>
      <c r="X26" s="34"/>
      <c r="Y26" s="34"/>
      <c r="Z26" s="34"/>
    </row>
    <row r="27" spans="1:26" ht="13.5">
      <c r="A27" s="34"/>
      <c r="B27" s="918"/>
      <c r="C27" s="34"/>
      <c r="D27" s="34"/>
      <c r="E27" s="34"/>
      <c r="F27" s="34"/>
      <c r="G27" s="331" t="s">
        <v>630</v>
      </c>
      <c r="H27" s="34"/>
      <c r="I27" s="332">
        <f>'18 Data for Charts'!K250/1000</f>
        <v>0</v>
      </c>
      <c r="J27" s="332">
        <f>'18 Data for Charts'!L250/1000</f>
        <v>0</v>
      </c>
      <c r="K27" s="332">
        <f>'18 Data for Charts'!M250/1000</f>
        <v>0</v>
      </c>
      <c r="L27" s="332">
        <f>'18 Data for Charts'!N250/1000</f>
        <v>0</v>
      </c>
      <c r="M27" s="332">
        <f>'18 Data for Charts'!O250/1000</f>
        <v>0</v>
      </c>
      <c r="N27" s="332">
        <f>'18 Data for Charts'!P250/1000</f>
        <v>0</v>
      </c>
      <c r="O27" s="332" t="e">
        <f>'18 Data for Charts'!#REF!/1000</f>
        <v>#REF!</v>
      </c>
      <c r="P27" s="332" t="e">
        <f>'18 Data for Charts'!#REF!/1000</f>
        <v>#REF!</v>
      </c>
      <c r="Q27" s="332" t="e">
        <f>'18 Data for Charts'!#REF!/1000</f>
        <v>#REF!</v>
      </c>
      <c r="R27" s="467">
        <v>0</v>
      </c>
      <c r="S27" s="34"/>
      <c r="T27" s="34"/>
      <c r="U27" s="34"/>
      <c r="V27" s="34"/>
      <c r="W27" s="34"/>
      <c r="X27" s="34"/>
      <c r="Y27" s="34"/>
      <c r="Z27" s="34"/>
    </row>
    <row r="28" spans="1:26" ht="13.5">
      <c r="A28" s="34"/>
      <c r="B28" s="918"/>
      <c r="C28" s="34"/>
      <c r="D28" s="34"/>
      <c r="E28" s="34"/>
      <c r="F28" s="34"/>
      <c r="G28" s="920" t="s">
        <v>859</v>
      </c>
      <c r="H28" s="43"/>
      <c r="I28" s="702">
        <f>'18 Data for Charts'!K228/1000</f>
        <v>0</v>
      </c>
      <c r="J28" s="702">
        <f>'18 Data for Charts'!L228/1000</f>
        <v>0</v>
      </c>
      <c r="K28" s="702">
        <f>'18 Data for Charts'!M228/1000</f>
        <v>0</v>
      </c>
      <c r="L28" s="702">
        <f>'18 Data for Charts'!N228/1000</f>
        <v>0</v>
      </c>
      <c r="M28" s="702">
        <f>'18 Data for Charts'!O228/1000</f>
        <v>0</v>
      </c>
      <c r="N28" s="702">
        <f>'18 Data for Charts'!P228/1000</f>
        <v>0</v>
      </c>
      <c r="O28" s="702" t="e">
        <f>'18 Data for Charts'!#REF!/1000</f>
        <v>#REF!</v>
      </c>
      <c r="P28" s="702" t="e">
        <f>'18 Data for Charts'!#REF!/1000</f>
        <v>#REF!</v>
      </c>
      <c r="Q28" s="702" t="e">
        <f>'18 Data for Charts'!#REF!/1000</f>
        <v>#REF!</v>
      </c>
      <c r="R28" s="921"/>
      <c r="S28" s="34"/>
      <c r="T28" s="34"/>
      <c r="U28" s="34"/>
      <c r="V28" s="34"/>
      <c r="W28" s="34"/>
      <c r="X28" s="34"/>
      <c r="Y28" s="34"/>
      <c r="Z28" s="34"/>
    </row>
    <row r="29" spans="1:26" ht="13.5">
      <c r="A29" s="34"/>
      <c r="B29" s="918"/>
      <c r="C29" s="34"/>
      <c r="D29" s="34"/>
      <c r="E29" s="34"/>
      <c r="F29" s="34"/>
      <c r="G29" s="34"/>
      <c r="H29" s="34"/>
      <c r="I29" s="34"/>
      <c r="J29" s="34"/>
      <c r="K29" s="34"/>
      <c r="L29" s="34"/>
      <c r="M29" s="34"/>
      <c r="N29" s="34"/>
      <c r="O29" s="34"/>
      <c r="P29" s="34"/>
      <c r="Q29" s="34"/>
      <c r="R29" s="34"/>
      <c r="S29" s="34"/>
      <c r="T29" s="34"/>
      <c r="U29" s="34"/>
      <c r="V29" s="34"/>
      <c r="W29" s="34"/>
      <c r="X29" s="34"/>
      <c r="Y29" s="34"/>
      <c r="Z29" s="34"/>
    </row>
    <row r="30" spans="1:26" ht="13.5">
      <c r="A30" s="34"/>
      <c r="B30" s="915" t="s">
        <v>889</v>
      </c>
      <c r="C30" s="916"/>
      <c r="D30" s="916"/>
      <c r="E30" s="916"/>
      <c r="F30" s="34"/>
      <c r="G30" s="34"/>
      <c r="H30" s="34"/>
      <c r="I30" s="34"/>
      <c r="J30" s="34"/>
      <c r="K30" s="34"/>
      <c r="L30" s="34"/>
      <c r="M30" s="34"/>
      <c r="N30" s="34"/>
      <c r="O30" s="34"/>
      <c r="P30" s="34"/>
      <c r="Q30" s="34"/>
      <c r="R30" s="34"/>
      <c r="S30" s="34"/>
      <c r="T30" s="34"/>
      <c r="U30" s="34"/>
      <c r="V30" s="34"/>
      <c r="W30" s="34"/>
      <c r="X30" s="34"/>
      <c r="Y30" s="34"/>
      <c r="Z30" s="34"/>
    </row>
    <row r="31" spans="1:26" ht="13.5">
      <c r="A31" s="34"/>
      <c r="B31" s="917" t="s">
        <v>909</v>
      </c>
      <c r="C31" s="34"/>
      <c r="D31" s="34"/>
      <c r="E31" s="34"/>
      <c r="F31" s="34"/>
      <c r="G31" s="613" t="s">
        <v>768</v>
      </c>
      <c r="H31" s="34"/>
      <c r="I31" s="34"/>
      <c r="J31" s="34"/>
      <c r="K31" s="34"/>
      <c r="L31" s="34"/>
      <c r="M31" s="34"/>
      <c r="N31" s="34"/>
      <c r="O31" s="34"/>
      <c r="P31" s="34"/>
      <c r="Q31" s="756"/>
      <c r="R31" s="34"/>
      <c r="S31" s="34"/>
      <c r="T31" s="34"/>
      <c r="U31" s="34"/>
      <c r="V31" s="34"/>
      <c r="W31" s="34"/>
      <c r="X31" s="34"/>
      <c r="Y31" s="34"/>
      <c r="Z31" s="34"/>
    </row>
    <row r="32" spans="1:26" ht="13.5">
      <c r="A32" s="34"/>
      <c r="B32" s="918"/>
      <c r="C32" s="34"/>
      <c r="D32" s="34"/>
      <c r="E32" s="34"/>
      <c r="F32" s="34"/>
      <c r="G32" s="328"/>
      <c r="H32" s="281"/>
      <c r="I32" s="281"/>
      <c r="J32" s="281"/>
      <c r="K32" s="281"/>
      <c r="L32" s="281"/>
      <c r="M32" s="281"/>
      <c r="N32" s="281"/>
      <c r="O32" s="281"/>
      <c r="P32" s="281"/>
      <c r="Q32" s="281"/>
      <c r="R32" s="395">
        <f>'X-Chart Basics'!D24</f>
        <v>42790</v>
      </c>
      <c r="S32" s="34"/>
      <c r="T32" s="34"/>
      <c r="U32" s="34"/>
      <c r="V32" s="34"/>
      <c r="W32" s="34"/>
      <c r="X32" s="34"/>
      <c r="Y32" s="34"/>
      <c r="Z32" s="34"/>
    </row>
    <row r="33" spans="1:26" ht="13.5">
      <c r="A33" s="34"/>
      <c r="B33" s="918"/>
      <c r="C33" s="34"/>
      <c r="D33" s="34"/>
      <c r="E33" s="34"/>
      <c r="F33" s="34"/>
      <c r="G33" s="282"/>
      <c r="H33" s="46" t="s">
        <v>336</v>
      </c>
      <c r="I33" s="340">
        <v>2013</v>
      </c>
      <c r="J33" s="340">
        <f t="shared" ref="J33:Q33" si="4">I33+1</f>
        <v>2014</v>
      </c>
      <c r="K33" s="340">
        <f t="shared" si="4"/>
        <v>2015</v>
      </c>
      <c r="L33" s="340">
        <f t="shared" si="4"/>
        <v>2016</v>
      </c>
      <c r="M33" s="340">
        <f t="shared" si="4"/>
        <v>2017</v>
      </c>
      <c r="N33" s="340">
        <f t="shared" si="4"/>
        <v>2018</v>
      </c>
      <c r="O33" s="340">
        <f t="shared" si="4"/>
        <v>2019</v>
      </c>
      <c r="P33" s="340">
        <f t="shared" si="4"/>
        <v>2020</v>
      </c>
      <c r="Q33" s="340">
        <f t="shared" si="4"/>
        <v>2021</v>
      </c>
      <c r="R33" s="919">
        <v>2017</v>
      </c>
      <c r="S33" s="34"/>
      <c r="T33" s="34"/>
      <c r="U33" s="34"/>
      <c r="V33" s="34"/>
      <c r="W33" s="34"/>
      <c r="X33" s="34"/>
      <c r="Y33" s="34"/>
      <c r="Z33" s="34"/>
    </row>
    <row r="34" spans="1:26">
      <c r="A34" s="34"/>
      <c r="B34" s="34"/>
      <c r="C34" s="34"/>
      <c r="D34" s="34"/>
      <c r="E34" s="34"/>
      <c r="F34" s="34"/>
      <c r="G34" s="331" t="s">
        <v>630</v>
      </c>
      <c r="H34" s="34"/>
      <c r="I34" s="332">
        <f>'18 Data for Charts'!K258/1000</f>
        <v>0</v>
      </c>
      <c r="J34" s="332">
        <f>'18 Data for Charts'!L258/1000</f>
        <v>0</v>
      </c>
      <c r="K34" s="332">
        <f>'18 Data for Charts'!M258/1000</f>
        <v>0</v>
      </c>
      <c r="L34" s="332">
        <f>'18 Data for Charts'!N258/1000</f>
        <v>0</v>
      </c>
      <c r="M34" s="332">
        <f>'18 Data for Charts'!O258/1000</f>
        <v>0</v>
      </c>
      <c r="N34" s="332">
        <f>'18 Data for Charts'!P258/1000</f>
        <v>0</v>
      </c>
      <c r="O34" s="332" t="e">
        <f>'18 Data for Charts'!#REF!/1000</f>
        <v>#REF!</v>
      </c>
      <c r="P34" s="332" t="e">
        <f>'18 Data for Charts'!#REF!/1000</f>
        <v>#REF!</v>
      </c>
      <c r="Q34" s="332" t="e">
        <f>'18 Data for Charts'!#REF!/1000</f>
        <v>#REF!</v>
      </c>
      <c r="R34" s="467">
        <f>'15b-Charts Comp'!M611</f>
        <v>42790</v>
      </c>
      <c r="S34" s="34"/>
      <c r="T34" s="34"/>
      <c r="U34" s="34"/>
      <c r="V34" s="34"/>
      <c r="W34" s="34"/>
      <c r="X34" s="34"/>
      <c r="Y34" s="34"/>
      <c r="Z34" s="34"/>
    </row>
    <row r="35" spans="1:26">
      <c r="A35" s="34"/>
      <c r="B35" s="34"/>
      <c r="C35" s="34"/>
      <c r="D35" s="34"/>
      <c r="E35" s="34"/>
      <c r="F35" s="34"/>
      <c r="G35" s="920" t="s">
        <v>859</v>
      </c>
      <c r="H35" s="43"/>
      <c r="I35" s="702">
        <f>'18 Data for Charts'!K236/1000</f>
        <v>0</v>
      </c>
      <c r="J35" s="702">
        <f>'18 Data for Charts'!L236/1000</f>
        <v>0</v>
      </c>
      <c r="K35" s="702">
        <f>'18 Data for Charts'!M236/1000</f>
        <v>0</v>
      </c>
      <c r="L35" s="702">
        <f>'18 Data for Charts'!N236/1000</f>
        <v>0</v>
      </c>
      <c r="M35" s="702">
        <f>'18 Data for Charts'!O236/1000</f>
        <v>0</v>
      </c>
      <c r="N35" s="702">
        <f>'18 Data for Charts'!P236/1000</f>
        <v>0</v>
      </c>
      <c r="O35" s="702" t="e">
        <f>'18 Data for Charts'!#REF!/1000</f>
        <v>#REF!</v>
      </c>
      <c r="P35" s="702" t="e">
        <f>'18 Data for Charts'!#REF!/1000</f>
        <v>#REF!</v>
      </c>
      <c r="Q35" s="702" t="e">
        <f>'18 Data for Charts'!#REF!/1000</f>
        <v>#REF!</v>
      </c>
      <c r="R35" s="921"/>
      <c r="S35" s="34"/>
      <c r="T35" s="34"/>
      <c r="U35" s="34"/>
      <c r="V35" s="34"/>
      <c r="W35" s="34"/>
      <c r="X35" s="34"/>
      <c r="Y35" s="34"/>
      <c r="Z35" s="34"/>
    </row>
    <row r="36" spans="1:26">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row>
    <row r="37" spans="1:26" ht="13.5">
      <c r="A37" s="34"/>
      <c r="B37" s="915" t="s">
        <v>889</v>
      </c>
      <c r="C37" s="916"/>
      <c r="D37" s="916"/>
      <c r="E37" s="916"/>
      <c r="F37" s="34"/>
      <c r="G37" s="34"/>
      <c r="H37" s="34"/>
      <c r="I37" s="34"/>
      <c r="J37" s="34"/>
      <c r="K37" s="34"/>
      <c r="L37" s="34"/>
      <c r="M37" s="34"/>
      <c r="N37" s="34"/>
      <c r="O37" s="34"/>
      <c r="P37" s="34"/>
      <c r="Q37" s="34"/>
      <c r="R37" s="34"/>
      <c r="S37" s="34"/>
      <c r="T37" s="34"/>
      <c r="U37" s="34"/>
      <c r="V37" s="34"/>
      <c r="W37" s="34"/>
      <c r="X37" s="34"/>
      <c r="Y37" s="34"/>
      <c r="Z37" s="34"/>
    </row>
    <row r="38" spans="1:26" ht="13.5">
      <c r="A38" s="34"/>
      <c r="B38" s="917" t="s">
        <v>910</v>
      </c>
      <c r="C38" s="34"/>
      <c r="D38" s="34"/>
      <c r="E38" s="34"/>
      <c r="F38" s="34"/>
      <c r="G38" s="613" t="s">
        <v>768</v>
      </c>
      <c r="H38" s="34"/>
      <c r="I38" s="34"/>
      <c r="J38" s="34"/>
      <c r="K38" s="34"/>
      <c r="L38" s="34"/>
      <c r="M38" s="34"/>
      <c r="N38" s="34"/>
      <c r="O38" s="34"/>
      <c r="P38" s="34"/>
      <c r="Q38" s="756"/>
      <c r="R38" s="34"/>
      <c r="S38" s="34"/>
      <c r="T38" s="34"/>
      <c r="U38" s="34"/>
      <c r="V38" s="34"/>
      <c r="W38" s="34"/>
      <c r="X38" s="34"/>
      <c r="Y38" s="34"/>
      <c r="Z38" s="34"/>
    </row>
    <row r="39" spans="1:26" ht="13.5">
      <c r="A39" s="34"/>
      <c r="B39" s="918"/>
      <c r="C39" s="34"/>
      <c r="D39" s="34"/>
      <c r="E39" s="34"/>
      <c r="F39" s="34"/>
      <c r="G39" s="328"/>
      <c r="H39" s="281"/>
      <c r="I39" s="281"/>
      <c r="J39" s="281"/>
      <c r="K39" s="281"/>
      <c r="L39" s="281"/>
      <c r="M39" s="281"/>
      <c r="N39" s="281"/>
      <c r="O39" s="281"/>
      <c r="P39" s="281"/>
      <c r="Q39" s="281"/>
      <c r="R39" s="395">
        <f>'X-Chart Basics'!D24</f>
        <v>42790</v>
      </c>
      <c r="S39" s="34"/>
      <c r="T39" s="34"/>
      <c r="U39" s="34"/>
      <c r="V39" s="34"/>
      <c r="W39" s="34"/>
      <c r="X39" s="34"/>
      <c r="Y39" s="34"/>
      <c r="Z39" s="34"/>
    </row>
    <row r="40" spans="1:26" ht="13.5">
      <c r="A40" s="34"/>
      <c r="B40" s="918"/>
      <c r="C40" s="34"/>
      <c r="D40" s="34"/>
      <c r="E40" s="34"/>
      <c r="F40" s="34"/>
      <c r="G40" s="282"/>
      <c r="H40" s="46" t="s">
        <v>336</v>
      </c>
      <c r="I40" s="340">
        <v>2013</v>
      </c>
      <c r="J40" s="340">
        <f t="shared" ref="J40:Q40" si="5">I40+1</f>
        <v>2014</v>
      </c>
      <c r="K40" s="340">
        <f t="shared" si="5"/>
        <v>2015</v>
      </c>
      <c r="L40" s="340">
        <f t="shared" si="5"/>
        <v>2016</v>
      </c>
      <c r="M40" s="340">
        <f t="shared" si="5"/>
        <v>2017</v>
      </c>
      <c r="N40" s="340">
        <f t="shared" si="5"/>
        <v>2018</v>
      </c>
      <c r="O40" s="340">
        <f t="shared" si="5"/>
        <v>2019</v>
      </c>
      <c r="P40" s="340">
        <f t="shared" si="5"/>
        <v>2020</v>
      </c>
      <c r="Q40" s="340">
        <f t="shared" si="5"/>
        <v>2021</v>
      </c>
      <c r="R40" s="919">
        <v>2017</v>
      </c>
      <c r="S40" s="34"/>
      <c r="T40" s="34"/>
      <c r="U40" s="34"/>
      <c r="V40" s="34"/>
      <c r="W40" s="34"/>
      <c r="X40" s="34"/>
      <c r="Y40" s="34"/>
      <c r="Z40" s="34"/>
    </row>
    <row r="41" spans="1:26">
      <c r="A41" s="34"/>
      <c r="B41" s="34"/>
      <c r="C41" s="34"/>
      <c r="D41" s="34"/>
      <c r="E41" s="34"/>
      <c r="F41" s="34"/>
      <c r="G41" s="331" t="s">
        <v>630</v>
      </c>
      <c r="H41" s="34"/>
      <c r="I41" s="332">
        <f>'18 Data for Charts'!K266/1000</f>
        <v>0</v>
      </c>
      <c r="J41" s="332">
        <f>'18 Data for Charts'!L266/1000</f>
        <v>0</v>
      </c>
      <c r="K41" s="332">
        <f>'18 Data for Charts'!M266/1000</f>
        <v>0</v>
      </c>
      <c r="L41" s="332">
        <f>'18 Data for Charts'!N266/1000</f>
        <v>0</v>
      </c>
      <c r="M41" s="332">
        <f>'18 Data for Charts'!O266/1000</f>
        <v>0</v>
      </c>
      <c r="N41" s="332">
        <f>'18 Data for Charts'!P266/1000</f>
        <v>0</v>
      </c>
      <c r="O41" s="332" t="e">
        <f>'18 Data for Charts'!#REF!/1000</f>
        <v>#REF!</v>
      </c>
      <c r="P41" s="332" t="e">
        <f>'18 Data for Charts'!#REF!/1000</f>
        <v>#REF!</v>
      </c>
      <c r="Q41" s="332" t="e">
        <f>'18 Data for Charts'!#REF!/1000</f>
        <v>#REF!</v>
      </c>
      <c r="R41" s="467">
        <v>0</v>
      </c>
      <c r="S41" s="34"/>
      <c r="T41" s="34"/>
      <c r="U41" s="34"/>
      <c r="V41" s="34"/>
      <c r="W41" s="34"/>
      <c r="X41" s="34"/>
      <c r="Y41" s="34"/>
      <c r="Z41" s="34"/>
    </row>
    <row r="42" spans="1:26">
      <c r="A42" s="34"/>
      <c r="B42" s="34"/>
      <c r="C42" s="34"/>
      <c r="D42" s="34"/>
      <c r="E42" s="34"/>
      <c r="F42" s="34"/>
      <c r="G42" s="920" t="s">
        <v>859</v>
      </c>
      <c r="H42" s="43"/>
      <c r="I42" s="702">
        <f>'18 Data for Charts'!K244/1000</f>
        <v>0</v>
      </c>
      <c r="J42" s="702">
        <f>'18 Data for Charts'!L244/1000</f>
        <v>0</v>
      </c>
      <c r="K42" s="702">
        <f>'18 Data for Charts'!M244/1000</f>
        <v>0</v>
      </c>
      <c r="L42" s="702">
        <f>'18 Data for Charts'!N244/1000</f>
        <v>0</v>
      </c>
      <c r="M42" s="702">
        <f>'18 Data for Charts'!O244/1000</f>
        <v>0</v>
      </c>
      <c r="N42" s="702">
        <f>'18 Data for Charts'!P244/1000</f>
        <v>0</v>
      </c>
      <c r="O42" s="702" t="e">
        <f>'18 Data for Charts'!#REF!/1000</f>
        <v>#REF!</v>
      </c>
      <c r="P42" s="702" t="e">
        <f>'18 Data for Charts'!#REF!/1000</f>
        <v>#REF!</v>
      </c>
      <c r="Q42" s="702" t="e">
        <f>'18 Data for Charts'!#REF!/1000</f>
        <v>#REF!</v>
      </c>
      <c r="R42" s="921"/>
      <c r="S42" s="34"/>
      <c r="T42" s="34"/>
      <c r="U42" s="34"/>
      <c r="V42" s="34"/>
      <c r="W42" s="34"/>
      <c r="X42" s="34"/>
      <c r="Y42" s="34"/>
      <c r="Z42" s="34"/>
    </row>
    <row r="43" spans="1:26">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row>
    <row r="44" spans="1:26" ht="13.5">
      <c r="A44" s="34"/>
      <c r="B44" s="915" t="s">
        <v>889</v>
      </c>
      <c r="C44" s="916"/>
      <c r="D44" s="916"/>
      <c r="E44" s="916"/>
      <c r="F44" s="34"/>
      <c r="G44" s="34"/>
      <c r="H44" s="34"/>
      <c r="I44" s="34"/>
      <c r="J44" s="34"/>
      <c r="K44" s="34"/>
      <c r="L44" s="34"/>
      <c r="M44" s="34"/>
      <c r="N44" s="34"/>
      <c r="O44" s="34"/>
      <c r="P44" s="34"/>
      <c r="Q44" s="34"/>
      <c r="R44" s="34"/>
      <c r="S44" s="34"/>
      <c r="T44" s="34"/>
      <c r="U44" s="34"/>
      <c r="V44" s="34"/>
      <c r="W44" s="34"/>
      <c r="X44" s="34"/>
      <c r="Y44" s="34"/>
      <c r="Z44" s="34"/>
    </row>
    <row r="45" spans="1:26" ht="13.5">
      <c r="A45" s="34"/>
      <c r="B45" s="917" t="s">
        <v>742</v>
      </c>
      <c r="C45" s="34"/>
      <c r="D45" s="34"/>
      <c r="E45" s="34"/>
      <c r="F45" s="34"/>
      <c r="G45" s="613" t="s">
        <v>768</v>
      </c>
      <c r="H45" s="34"/>
      <c r="I45" s="34"/>
      <c r="J45" s="34"/>
      <c r="K45" s="34"/>
      <c r="L45" s="34"/>
      <c r="M45" s="34"/>
      <c r="N45" s="34"/>
      <c r="O45" s="34"/>
      <c r="P45" s="34"/>
      <c r="Q45" s="756"/>
      <c r="R45" s="34"/>
      <c r="S45" s="34"/>
      <c r="T45" s="34"/>
      <c r="U45" s="34"/>
      <c r="V45" s="34"/>
      <c r="W45" s="34"/>
      <c r="X45" s="34"/>
      <c r="Y45" s="34"/>
      <c r="Z45" s="34"/>
    </row>
    <row r="46" spans="1:26" ht="13.5">
      <c r="A46" s="34"/>
      <c r="B46" s="918"/>
      <c r="C46" s="34"/>
      <c r="D46" s="34"/>
      <c r="E46" s="34"/>
      <c r="F46" s="34"/>
      <c r="G46" s="328"/>
      <c r="H46" s="281"/>
      <c r="I46" s="281"/>
      <c r="J46" s="281"/>
      <c r="K46" s="281"/>
      <c r="L46" s="281"/>
      <c r="M46" s="281"/>
      <c r="N46" s="281"/>
      <c r="O46" s="281"/>
      <c r="P46" s="281"/>
      <c r="Q46" s="281"/>
      <c r="R46" s="395" t="e">
        <f>'15b-Charts Comp'!#REF!</f>
        <v>#REF!</v>
      </c>
      <c r="S46" s="34"/>
      <c r="T46" s="34"/>
      <c r="U46" s="34"/>
      <c r="V46" s="34"/>
      <c r="W46" s="34"/>
      <c r="X46" s="34"/>
      <c r="Y46" s="34"/>
      <c r="Z46" s="34"/>
    </row>
    <row r="47" spans="1:26" ht="13.5">
      <c r="A47" s="34"/>
      <c r="B47" s="918"/>
      <c r="C47" s="34"/>
      <c r="D47" s="34"/>
      <c r="E47" s="34"/>
      <c r="F47" s="34"/>
      <c r="G47" s="282"/>
      <c r="H47" s="46" t="s">
        <v>336</v>
      </c>
      <c r="I47" s="340">
        <v>2008</v>
      </c>
      <c r="J47" s="340">
        <f t="shared" ref="J47:Q47" si="6">I47+1</f>
        <v>2009</v>
      </c>
      <c r="K47" s="340">
        <f t="shared" si="6"/>
        <v>2010</v>
      </c>
      <c r="L47" s="340">
        <f t="shared" si="6"/>
        <v>2011</v>
      </c>
      <c r="M47" s="340">
        <f t="shared" si="6"/>
        <v>2012</v>
      </c>
      <c r="N47" s="340">
        <f t="shared" si="6"/>
        <v>2013</v>
      </c>
      <c r="O47" s="340">
        <f t="shared" si="6"/>
        <v>2014</v>
      </c>
      <c r="P47" s="340">
        <f t="shared" si="6"/>
        <v>2015</v>
      </c>
      <c r="Q47" s="340">
        <f t="shared" si="6"/>
        <v>2016</v>
      </c>
      <c r="R47" s="919">
        <v>2017</v>
      </c>
      <c r="S47" s="34"/>
      <c r="T47" s="34"/>
      <c r="U47" s="34"/>
      <c r="V47" s="34"/>
      <c r="W47" s="34"/>
      <c r="X47" s="34"/>
      <c r="Y47" s="34"/>
      <c r="Z47" s="34"/>
    </row>
    <row r="48" spans="1:26">
      <c r="A48" s="34"/>
      <c r="B48" s="34"/>
      <c r="C48" s="34"/>
      <c r="D48" s="34"/>
      <c r="E48" s="34"/>
      <c r="F48" s="34"/>
      <c r="G48" s="331" t="s">
        <v>630</v>
      </c>
      <c r="H48" s="34"/>
      <c r="I48" s="332">
        <f>'18 Data for Charts'!K274/1000</f>
        <v>0</v>
      </c>
      <c r="J48" s="332">
        <f>'18 Data for Charts'!L274/1000</f>
        <v>0</v>
      </c>
      <c r="K48" s="332">
        <f>'18 Data for Charts'!M274/1000</f>
        <v>0</v>
      </c>
      <c r="L48" s="332">
        <f>'18 Data for Charts'!N274/1000</f>
        <v>0</v>
      </c>
      <c r="M48" s="332">
        <f>'18 Data for Charts'!O274/1000</f>
        <v>0</v>
      </c>
      <c r="N48" s="332">
        <f>'18 Data for Charts'!P274/1000</f>
        <v>0</v>
      </c>
      <c r="O48" s="332" t="e">
        <f>'18 Data for Charts'!#REF!/1000</f>
        <v>#REF!</v>
      </c>
      <c r="P48" s="332" t="e">
        <f>'18 Data for Charts'!#REF!/1000</f>
        <v>#REF!</v>
      </c>
      <c r="Q48" s="332" t="e">
        <f>'18 Data for Charts'!#REF!/1000</f>
        <v>#REF!</v>
      </c>
      <c r="R48" s="467">
        <v>0</v>
      </c>
      <c r="S48" s="34"/>
      <c r="T48" s="34"/>
      <c r="U48" s="34"/>
      <c r="V48" s="34"/>
      <c r="W48" s="34"/>
      <c r="X48" s="34"/>
      <c r="Y48" s="34"/>
      <c r="Z48" s="34"/>
    </row>
    <row r="49" spans="1:26">
      <c r="A49" s="34"/>
      <c r="B49" s="34"/>
      <c r="C49" s="34"/>
      <c r="D49" s="34"/>
      <c r="E49" s="34"/>
      <c r="F49" s="34"/>
      <c r="G49" s="920" t="s">
        <v>859</v>
      </c>
      <c r="H49" s="43"/>
      <c r="I49" s="702">
        <f>'18 Data for Charts'!K252/1000</f>
        <v>0</v>
      </c>
      <c r="J49" s="702">
        <f>'18 Data for Charts'!L252/1000</f>
        <v>0</v>
      </c>
      <c r="K49" s="702">
        <f>'18 Data for Charts'!M252/1000</f>
        <v>0</v>
      </c>
      <c r="L49" s="702">
        <f>'18 Data for Charts'!N252/1000</f>
        <v>0</v>
      </c>
      <c r="M49" s="702">
        <f>'18 Data for Charts'!O252/1000</f>
        <v>0</v>
      </c>
      <c r="N49" s="702">
        <f>'18 Data for Charts'!P252/1000</f>
        <v>0</v>
      </c>
      <c r="O49" s="702" t="e">
        <f>'18 Data for Charts'!#REF!/1000</f>
        <v>#REF!</v>
      </c>
      <c r="P49" s="702" t="e">
        <f>'18 Data for Charts'!#REF!/1000</f>
        <v>#REF!</v>
      </c>
      <c r="Q49" s="702" t="e">
        <f>'18 Data for Charts'!#REF!/1000</f>
        <v>#REF!</v>
      </c>
      <c r="R49" s="921"/>
      <c r="S49" s="34"/>
      <c r="T49" s="34"/>
      <c r="U49" s="34"/>
      <c r="V49" s="34"/>
      <c r="W49" s="34"/>
      <c r="X49" s="34"/>
      <c r="Y49" s="34"/>
      <c r="Z49" s="34"/>
    </row>
    <row r="50" spans="1:26">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row>
    <row r="51" spans="1:26" ht="13.5">
      <c r="A51" s="34"/>
      <c r="B51" s="915" t="s">
        <v>889</v>
      </c>
      <c r="C51" s="916"/>
      <c r="D51" s="916"/>
      <c r="E51" s="916"/>
      <c r="F51" s="34"/>
      <c r="G51" s="34"/>
      <c r="H51" s="34"/>
      <c r="I51" s="34"/>
      <c r="J51" s="34"/>
      <c r="K51" s="34"/>
      <c r="L51" s="34"/>
      <c r="M51" s="34"/>
      <c r="N51" s="34"/>
      <c r="O51" s="34"/>
      <c r="P51" s="34"/>
      <c r="Q51" s="34"/>
      <c r="R51" s="34"/>
      <c r="S51" s="34"/>
      <c r="T51" s="34"/>
      <c r="U51" s="34"/>
      <c r="V51" s="34"/>
      <c r="W51" s="34"/>
      <c r="X51" s="34"/>
      <c r="Y51" s="34"/>
      <c r="Z51" s="34"/>
    </row>
    <row r="52" spans="1:26" ht="13.5">
      <c r="A52" s="34"/>
      <c r="B52" s="917" t="s">
        <v>911</v>
      </c>
      <c r="C52" s="34"/>
      <c r="D52" s="34"/>
      <c r="E52" s="34"/>
      <c r="F52" s="34"/>
      <c r="G52" s="613" t="s">
        <v>768</v>
      </c>
      <c r="H52" s="34"/>
      <c r="I52" s="34"/>
      <c r="J52" s="34"/>
      <c r="K52" s="34"/>
      <c r="L52" s="34"/>
      <c r="M52" s="34"/>
      <c r="N52" s="34"/>
      <c r="O52" s="34"/>
      <c r="P52" s="34"/>
      <c r="Q52" s="756"/>
      <c r="R52" s="34"/>
      <c r="S52" s="34"/>
      <c r="T52" s="34"/>
      <c r="U52" s="34"/>
      <c r="V52" s="34"/>
      <c r="W52" s="34"/>
      <c r="X52" s="34"/>
      <c r="Y52" s="34"/>
      <c r="Z52" s="34"/>
    </row>
    <row r="53" spans="1:26" ht="13.5">
      <c r="A53" s="34"/>
      <c r="B53" s="918"/>
      <c r="C53" s="34"/>
      <c r="D53" s="34"/>
      <c r="E53" s="34"/>
      <c r="F53" s="34"/>
      <c r="G53" s="328"/>
      <c r="H53" s="281"/>
      <c r="I53" s="281"/>
      <c r="J53" s="281"/>
      <c r="K53" s="281"/>
      <c r="L53" s="281"/>
      <c r="M53" s="281"/>
      <c r="N53" s="281"/>
      <c r="O53" s="281"/>
      <c r="P53" s="281"/>
      <c r="Q53" s="281"/>
      <c r="R53" s="395">
        <f>'X-Chart Basics'!D24</f>
        <v>42790</v>
      </c>
      <c r="S53" s="34"/>
      <c r="T53" s="34"/>
      <c r="U53" s="34"/>
      <c r="V53" s="34"/>
      <c r="W53" s="34"/>
      <c r="X53" s="34"/>
      <c r="Y53" s="34"/>
      <c r="Z53" s="34"/>
    </row>
    <row r="54" spans="1:26" ht="13.5">
      <c r="A54" s="34"/>
      <c r="B54" s="918"/>
      <c r="C54" s="34"/>
      <c r="D54" s="34"/>
      <c r="E54" s="34"/>
      <c r="F54" s="34"/>
      <c r="G54" s="282"/>
      <c r="H54" s="46" t="s">
        <v>336</v>
      </c>
      <c r="I54" s="340">
        <v>2008</v>
      </c>
      <c r="J54" s="340">
        <f t="shared" ref="J54:Q54" si="7">I54+1</f>
        <v>2009</v>
      </c>
      <c r="K54" s="340">
        <f t="shared" si="7"/>
        <v>2010</v>
      </c>
      <c r="L54" s="340">
        <f t="shared" si="7"/>
        <v>2011</v>
      </c>
      <c r="M54" s="340">
        <f t="shared" si="7"/>
        <v>2012</v>
      </c>
      <c r="N54" s="340">
        <f t="shared" si="7"/>
        <v>2013</v>
      </c>
      <c r="O54" s="340">
        <f t="shared" si="7"/>
        <v>2014</v>
      </c>
      <c r="P54" s="340">
        <f t="shared" si="7"/>
        <v>2015</v>
      </c>
      <c r="Q54" s="340">
        <f t="shared" si="7"/>
        <v>2016</v>
      </c>
      <c r="R54" s="919">
        <v>2017</v>
      </c>
      <c r="S54" s="34"/>
      <c r="T54" s="34"/>
      <c r="U54" s="34"/>
      <c r="V54" s="34"/>
      <c r="W54" s="34"/>
      <c r="X54" s="34"/>
      <c r="Y54" s="34"/>
      <c r="Z54" s="34"/>
    </row>
    <row r="55" spans="1:26">
      <c r="A55" s="34"/>
      <c r="B55" s="34"/>
      <c r="C55" s="34"/>
      <c r="D55" s="34"/>
      <c r="E55" s="34"/>
      <c r="F55" s="34"/>
      <c r="G55" s="331" t="s">
        <v>630</v>
      </c>
      <c r="H55" s="34"/>
      <c r="I55" s="332">
        <f>'18 Data for Charts'!K282/1000</f>
        <v>0</v>
      </c>
      <c r="J55" s="332">
        <f>'18 Data for Charts'!L282/1000</f>
        <v>0</v>
      </c>
      <c r="K55" s="332">
        <f>'18 Data for Charts'!M282/1000</f>
        <v>0</v>
      </c>
      <c r="L55" s="332">
        <f>'18 Data for Charts'!N282/1000</f>
        <v>0</v>
      </c>
      <c r="M55" s="332">
        <f>'18 Data for Charts'!O282/1000</f>
        <v>0</v>
      </c>
      <c r="N55" s="332">
        <f>'18 Data for Charts'!P282/1000</f>
        <v>0</v>
      </c>
      <c r="O55" s="332" t="e">
        <f>'18 Data for Charts'!#REF!/1000</f>
        <v>#REF!</v>
      </c>
      <c r="P55" s="332" t="e">
        <f>'18 Data for Charts'!#REF!/1000</f>
        <v>#REF!</v>
      </c>
      <c r="Q55" s="332" t="e">
        <f>'18 Data for Charts'!#REF!/1000</f>
        <v>#REF!</v>
      </c>
      <c r="R55" s="467">
        <v>0</v>
      </c>
      <c r="S55" s="34"/>
      <c r="T55" s="34"/>
      <c r="U55" s="34"/>
      <c r="V55" s="34"/>
      <c r="W55" s="34"/>
      <c r="X55" s="34"/>
      <c r="Y55" s="34"/>
      <c r="Z55" s="34"/>
    </row>
    <row r="56" spans="1:26">
      <c r="A56" s="34"/>
      <c r="B56" s="34"/>
      <c r="C56" s="34"/>
      <c r="D56" s="34"/>
      <c r="E56" s="34"/>
      <c r="F56" s="34"/>
      <c r="G56" s="920" t="s">
        <v>859</v>
      </c>
      <c r="H56" s="43"/>
      <c r="I56" s="702">
        <f>'18 Data for Charts'!K260/1000</f>
        <v>0</v>
      </c>
      <c r="J56" s="702">
        <f>'18 Data for Charts'!L260/1000</f>
        <v>0</v>
      </c>
      <c r="K56" s="702">
        <f>'18 Data for Charts'!M260/1000</f>
        <v>0</v>
      </c>
      <c r="L56" s="702">
        <f>'18 Data for Charts'!N260/1000</f>
        <v>0</v>
      </c>
      <c r="M56" s="702">
        <f>'18 Data for Charts'!O260/1000</f>
        <v>0</v>
      </c>
      <c r="N56" s="702">
        <f>'18 Data for Charts'!P260/1000</f>
        <v>0</v>
      </c>
      <c r="O56" s="702" t="e">
        <f>'18 Data for Charts'!#REF!/1000</f>
        <v>#REF!</v>
      </c>
      <c r="P56" s="702" t="e">
        <f>'18 Data for Charts'!#REF!/1000</f>
        <v>#REF!</v>
      </c>
      <c r="Q56" s="702" t="e">
        <f>'18 Data for Charts'!#REF!/1000</f>
        <v>#REF!</v>
      </c>
      <c r="R56" s="921"/>
      <c r="S56" s="34"/>
      <c r="T56" s="34"/>
      <c r="U56" s="34"/>
      <c r="V56" s="34"/>
      <c r="W56" s="34"/>
      <c r="X56" s="34"/>
      <c r="Y56" s="34"/>
      <c r="Z56" s="34"/>
    </row>
    <row r="57" spans="1:26">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row>
    <row r="58" spans="1:26" ht="13.5">
      <c r="A58" s="34"/>
      <c r="B58" s="915" t="s">
        <v>889</v>
      </c>
      <c r="C58" s="916"/>
      <c r="D58" s="916"/>
      <c r="E58" s="916"/>
      <c r="F58" s="34"/>
      <c r="G58" s="34"/>
      <c r="H58" s="34"/>
      <c r="I58" s="34"/>
      <c r="J58" s="34"/>
      <c r="K58" s="34"/>
      <c r="L58" s="34"/>
      <c r="M58" s="34"/>
      <c r="N58" s="34"/>
      <c r="O58" s="34"/>
      <c r="P58" s="34"/>
      <c r="Q58" s="34"/>
      <c r="R58" s="34"/>
      <c r="S58" s="34"/>
      <c r="T58" s="34"/>
      <c r="U58" s="34"/>
      <c r="V58" s="34"/>
      <c r="W58" s="34"/>
      <c r="X58" s="34"/>
      <c r="Y58" s="34"/>
      <c r="Z58" s="34"/>
    </row>
    <row r="59" spans="1:26" ht="13.5">
      <c r="A59" s="34"/>
      <c r="B59" s="917" t="s">
        <v>912</v>
      </c>
      <c r="C59" s="34"/>
      <c r="D59" s="34"/>
      <c r="E59" s="34"/>
      <c r="F59" s="34"/>
      <c r="G59" s="613" t="s">
        <v>768</v>
      </c>
      <c r="H59" s="34"/>
      <c r="I59" s="34"/>
      <c r="J59" s="34"/>
      <c r="K59" s="34"/>
      <c r="L59" s="34"/>
      <c r="M59" s="34"/>
      <c r="N59" s="34"/>
      <c r="O59" s="34"/>
      <c r="P59" s="34"/>
      <c r="Q59" s="756"/>
      <c r="R59" s="34"/>
      <c r="S59" s="34"/>
      <c r="T59" s="34"/>
      <c r="U59" s="34"/>
      <c r="V59" s="34"/>
      <c r="W59" s="34"/>
      <c r="X59" s="34"/>
      <c r="Y59" s="34"/>
      <c r="Z59" s="34"/>
    </row>
    <row r="60" spans="1:26" ht="13.5">
      <c r="A60" s="34"/>
      <c r="B60" s="918"/>
      <c r="C60" s="34"/>
      <c r="D60" s="34"/>
      <c r="E60" s="34"/>
      <c r="F60" s="34"/>
      <c r="G60" s="328"/>
      <c r="H60" s="281"/>
      <c r="I60" s="281"/>
      <c r="J60" s="281"/>
      <c r="K60" s="281"/>
      <c r="L60" s="281"/>
      <c r="M60" s="281"/>
      <c r="N60" s="281"/>
      <c r="O60" s="281"/>
      <c r="P60" s="281"/>
      <c r="Q60" s="281"/>
      <c r="R60" s="395">
        <f>'X-Chart Basics'!D24</f>
        <v>42790</v>
      </c>
      <c r="S60" s="34"/>
      <c r="T60" s="34"/>
      <c r="U60" s="34"/>
      <c r="V60" s="34"/>
      <c r="W60" s="34"/>
      <c r="X60" s="34"/>
      <c r="Y60" s="34"/>
      <c r="Z60" s="34"/>
    </row>
    <row r="61" spans="1:26" ht="13.5">
      <c r="A61" s="34"/>
      <c r="B61" s="918"/>
      <c r="C61" s="34"/>
      <c r="D61" s="34"/>
      <c r="E61" s="34"/>
      <c r="F61" s="34"/>
      <c r="G61" s="282"/>
      <c r="H61" s="46" t="s">
        <v>336</v>
      </c>
      <c r="I61" s="340">
        <v>2013</v>
      </c>
      <c r="J61" s="340">
        <f t="shared" ref="J61:Q61" si="8">I61+1</f>
        <v>2014</v>
      </c>
      <c r="K61" s="340">
        <f t="shared" si="8"/>
        <v>2015</v>
      </c>
      <c r="L61" s="340">
        <f t="shared" si="8"/>
        <v>2016</v>
      </c>
      <c r="M61" s="340">
        <f t="shared" si="8"/>
        <v>2017</v>
      </c>
      <c r="N61" s="340">
        <f t="shared" si="8"/>
        <v>2018</v>
      </c>
      <c r="O61" s="340">
        <f t="shared" si="8"/>
        <v>2019</v>
      </c>
      <c r="P61" s="340">
        <f t="shared" si="8"/>
        <v>2020</v>
      </c>
      <c r="Q61" s="340">
        <f t="shared" si="8"/>
        <v>2021</v>
      </c>
      <c r="R61" s="919">
        <v>2017</v>
      </c>
      <c r="S61" s="34"/>
      <c r="T61" s="34"/>
      <c r="U61" s="34"/>
      <c r="V61" s="34"/>
      <c r="W61" s="34"/>
      <c r="X61" s="34"/>
      <c r="Y61" s="34"/>
      <c r="Z61" s="34"/>
    </row>
    <row r="62" spans="1:26">
      <c r="A62" s="34"/>
      <c r="B62" s="34"/>
      <c r="C62" s="34"/>
      <c r="D62" s="34"/>
      <c r="E62" s="34"/>
      <c r="F62" s="34"/>
      <c r="G62" s="331" t="s">
        <v>630</v>
      </c>
      <c r="H62" s="34"/>
      <c r="I62" s="332">
        <f>'18 Data for Charts'!K290/1000</f>
        <v>0</v>
      </c>
      <c r="J62" s="332">
        <f>'18 Data for Charts'!L290/1000</f>
        <v>0</v>
      </c>
      <c r="K62" s="332">
        <f>'18 Data for Charts'!M290/1000</f>
        <v>0</v>
      </c>
      <c r="L62" s="332">
        <f>'18 Data for Charts'!N290/1000</f>
        <v>0</v>
      </c>
      <c r="M62" s="332">
        <f>'18 Data for Charts'!O290/1000</f>
        <v>0</v>
      </c>
      <c r="N62" s="332">
        <f>'18 Data for Charts'!P290/1000</f>
        <v>0</v>
      </c>
      <c r="O62" s="332" t="e">
        <f>'18 Data for Charts'!#REF!/1000</f>
        <v>#REF!</v>
      </c>
      <c r="P62" s="332" t="e">
        <f>'18 Data for Charts'!#REF!/1000</f>
        <v>#REF!</v>
      </c>
      <c r="Q62" s="332" t="e">
        <f>'18 Data for Charts'!#REF!/1000</f>
        <v>#REF!</v>
      </c>
      <c r="R62" s="467">
        <v>0</v>
      </c>
      <c r="S62" s="34"/>
      <c r="T62" s="34"/>
      <c r="U62" s="34"/>
      <c r="V62" s="34"/>
      <c r="W62" s="34"/>
      <c r="X62" s="34"/>
      <c r="Y62" s="34"/>
      <c r="Z62" s="34"/>
    </row>
    <row r="63" spans="1:26">
      <c r="A63" s="34"/>
      <c r="B63" s="34"/>
      <c r="C63" s="34"/>
      <c r="D63" s="34"/>
      <c r="E63" s="34"/>
      <c r="F63" s="34"/>
      <c r="G63" s="920" t="s">
        <v>859</v>
      </c>
      <c r="H63" s="43"/>
      <c r="I63" s="702">
        <f>'18 Data for Charts'!K268/1000</f>
        <v>0</v>
      </c>
      <c r="J63" s="702">
        <f>'18 Data for Charts'!L268/1000</f>
        <v>0</v>
      </c>
      <c r="K63" s="702">
        <f>'18 Data for Charts'!M268/1000</f>
        <v>0</v>
      </c>
      <c r="L63" s="702">
        <f>'18 Data for Charts'!N268/1000</f>
        <v>0</v>
      </c>
      <c r="M63" s="702">
        <f>'18 Data for Charts'!O268/1000</f>
        <v>0</v>
      </c>
      <c r="N63" s="702">
        <f>'18 Data for Charts'!P268/1000</f>
        <v>0</v>
      </c>
      <c r="O63" s="702" t="e">
        <f>'18 Data for Charts'!#REF!/1000</f>
        <v>#REF!</v>
      </c>
      <c r="P63" s="702" t="e">
        <f>'18 Data for Charts'!#REF!/1000</f>
        <v>#REF!</v>
      </c>
      <c r="Q63" s="702" t="e">
        <f>'18 Data for Charts'!#REF!/1000</f>
        <v>#REF!</v>
      </c>
      <c r="R63" s="921"/>
      <c r="S63" s="34"/>
      <c r="T63" s="34"/>
      <c r="U63" s="34"/>
      <c r="V63" s="34"/>
      <c r="W63" s="34"/>
      <c r="X63" s="34"/>
      <c r="Y63" s="34"/>
      <c r="Z63" s="34"/>
    </row>
    <row r="64" spans="1:26">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row>
    <row r="65" spans="1:26" ht="13.5">
      <c r="A65" s="34"/>
      <c r="B65" s="915" t="s">
        <v>889</v>
      </c>
      <c r="C65" s="916"/>
      <c r="D65" s="916"/>
      <c r="E65" s="916"/>
      <c r="F65" s="34"/>
      <c r="G65" s="34"/>
      <c r="H65" s="34"/>
      <c r="I65" s="34"/>
      <c r="J65" s="34"/>
      <c r="K65" s="34"/>
      <c r="L65" s="34"/>
      <c r="M65" s="34"/>
      <c r="N65" s="34"/>
      <c r="O65" s="34"/>
      <c r="P65" s="34"/>
      <c r="Q65" s="34"/>
      <c r="R65" s="34"/>
      <c r="S65" s="34"/>
      <c r="T65" s="34"/>
      <c r="U65" s="34"/>
      <c r="V65" s="34"/>
      <c r="W65" s="34"/>
      <c r="X65" s="34"/>
      <c r="Y65" s="34"/>
      <c r="Z65" s="34"/>
    </row>
    <row r="66" spans="1:26" ht="13.5">
      <c r="A66" s="34"/>
      <c r="B66" s="917" t="s">
        <v>890</v>
      </c>
      <c r="C66" s="34"/>
      <c r="D66" s="34"/>
      <c r="E66" s="34"/>
      <c r="F66" s="34"/>
      <c r="G66" s="613" t="s">
        <v>768</v>
      </c>
      <c r="H66" s="34"/>
      <c r="I66" s="34"/>
      <c r="J66" s="34"/>
      <c r="K66" s="34"/>
      <c r="L66" s="34"/>
      <c r="M66" s="34"/>
      <c r="N66" s="34"/>
      <c r="O66" s="34"/>
      <c r="P66" s="34"/>
      <c r="Q66" s="756"/>
      <c r="R66" s="34"/>
      <c r="S66" s="34"/>
      <c r="T66" s="34"/>
      <c r="U66" s="34"/>
      <c r="V66" s="34"/>
      <c r="W66" s="34"/>
      <c r="X66" s="34"/>
      <c r="Y66" s="34"/>
      <c r="Z66" s="34"/>
    </row>
    <row r="67" spans="1:26" ht="13.5">
      <c r="A67" s="34"/>
      <c r="B67" s="918"/>
      <c r="C67" s="34"/>
      <c r="D67" s="34"/>
      <c r="E67" s="34"/>
      <c r="F67" s="34"/>
      <c r="G67" s="328"/>
      <c r="H67" s="281"/>
      <c r="I67" s="281"/>
      <c r="J67" s="281"/>
      <c r="K67" s="281"/>
      <c r="L67" s="281"/>
      <c r="M67" s="281"/>
      <c r="N67" s="281"/>
      <c r="O67" s="281"/>
      <c r="P67" s="281"/>
      <c r="Q67" s="281"/>
      <c r="R67" s="395">
        <f>'X-Chart Basics'!D24</f>
        <v>42790</v>
      </c>
      <c r="S67" s="34"/>
      <c r="T67" s="34"/>
      <c r="U67" s="34"/>
      <c r="V67" s="34"/>
      <c r="W67" s="34"/>
      <c r="X67" s="34"/>
      <c r="Y67" s="34"/>
      <c r="Z67" s="34"/>
    </row>
    <row r="68" spans="1:26" ht="13.5">
      <c r="A68" s="34"/>
      <c r="B68" s="918"/>
      <c r="C68" s="34"/>
      <c r="D68" s="34"/>
      <c r="E68" s="34"/>
      <c r="F68" s="34"/>
      <c r="G68" s="282"/>
      <c r="H68" s="46"/>
      <c r="I68" s="340">
        <v>2013</v>
      </c>
      <c r="J68" s="340">
        <f t="shared" ref="J68:Q68" si="9">I68+1</f>
        <v>2014</v>
      </c>
      <c r="K68" s="340">
        <f t="shared" si="9"/>
        <v>2015</v>
      </c>
      <c r="L68" s="340">
        <f t="shared" si="9"/>
        <v>2016</v>
      </c>
      <c r="M68" s="340">
        <f t="shared" si="9"/>
        <v>2017</v>
      </c>
      <c r="N68" s="340">
        <f t="shared" si="9"/>
        <v>2018</v>
      </c>
      <c r="O68" s="340">
        <f t="shared" si="9"/>
        <v>2019</v>
      </c>
      <c r="P68" s="340">
        <f t="shared" si="9"/>
        <v>2020</v>
      </c>
      <c r="Q68" s="340">
        <f t="shared" si="9"/>
        <v>2021</v>
      </c>
      <c r="R68" s="919">
        <v>2017</v>
      </c>
      <c r="S68" s="34"/>
      <c r="T68" s="34"/>
      <c r="U68" s="34"/>
      <c r="V68" s="34"/>
      <c r="W68" s="34"/>
      <c r="X68" s="34"/>
      <c r="Y68" s="34"/>
      <c r="Z68" s="34"/>
    </row>
    <row r="69" spans="1:26">
      <c r="A69" s="34"/>
      <c r="B69" s="34"/>
      <c r="C69" s="34"/>
      <c r="D69" s="34"/>
      <c r="E69" s="34"/>
      <c r="F69" s="34"/>
      <c r="G69" s="331" t="s">
        <v>630</v>
      </c>
      <c r="H69" s="34"/>
      <c r="I69" s="332">
        <f>'18 Data for Charts'!K298/1000</f>
        <v>0</v>
      </c>
      <c r="J69" s="332">
        <f>'18 Data for Charts'!L298/1000</f>
        <v>0</v>
      </c>
      <c r="K69" s="332">
        <f>'18 Data for Charts'!M298/1000</f>
        <v>0</v>
      </c>
      <c r="L69" s="332">
        <f>'18 Data for Charts'!N298/1000</f>
        <v>0</v>
      </c>
      <c r="M69" s="332">
        <f>'18 Data for Charts'!O298/1000</f>
        <v>0</v>
      </c>
      <c r="N69" s="332">
        <f>'18 Data for Charts'!P298/1000</f>
        <v>0</v>
      </c>
      <c r="O69" s="332" t="e">
        <f>'18 Data for Charts'!#REF!/1000</f>
        <v>#REF!</v>
      </c>
      <c r="P69" s="332" t="e">
        <f>'18 Data for Charts'!#REF!/1000</f>
        <v>#REF!</v>
      </c>
      <c r="Q69" s="332" t="e">
        <f>'18 Data for Charts'!#REF!/1000</f>
        <v>#REF!</v>
      </c>
      <c r="R69" s="467" t="e">
        <f>R46</f>
        <v>#REF!</v>
      </c>
      <c r="S69" s="34"/>
      <c r="T69" s="34"/>
      <c r="U69" s="34"/>
      <c r="V69" s="34"/>
      <c r="W69" s="34"/>
      <c r="X69" s="34"/>
      <c r="Y69" s="34"/>
      <c r="Z69" s="34"/>
    </row>
    <row r="70" spans="1:26">
      <c r="A70" s="34"/>
      <c r="B70" s="34"/>
      <c r="C70" s="34"/>
      <c r="D70" s="34"/>
      <c r="E70" s="34"/>
      <c r="F70" s="34"/>
      <c r="G70" s="920" t="s">
        <v>859</v>
      </c>
      <c r="H70" s="43"/>
      <c r="I70" s="702">
        <f>'18 Data for Charts'!K276/1000</f>
        <v>0</v>
      </c>
      <c r="J70" s="702">
        <f>'18 Data for Charts'!L276/1000</f>
        <v>0</v>
      </c>
      <c r="K70" s="702">
        <f>'18 Data for Charts'!M276/1000</f>
        <v>0</v>
      </c>
      <c r="L70" s="702">
        <f>'18 Data for Charts'!N276/1000</f>
        <v>0</v>
      </c>
      <c r="M70" s="702">
        <f>'18 Data for Charts'!O276/1000</f>
        <v>0</v>
      </c>
      <c r="N70" s="702">
        <f>'18 Data for Charts'!P276/1000</f>
        <v>0</v>
      </c>
      <c r="O70" s="702" t="e">
        <f>'18 Data for Charts'!#REF!/1000</f>
        <v>#REF!</v>
      </c>
      <c r="P70" s="702" t="e">
        <f>'18 Data for Charts'!#REF!/1000</f>
        <v>#REF!</v>
      </c>
      <c r="Q70" s="702" t="e">
        <f>'18 Data for Charts'!#REF!/1000</f>
        <v>#REF!</v>
      </c>
      <c r="R70" s="921"/>
      <c r="S70" s="34"/>
      <c r="T70" s="34"/>
      <c r="U70" s="34"/>
      <c r="V70" s="34"/>
      <c r="W70" s="34"/>
      <c r="X70" s="34"/>
      <c r="Y70" s="34"/>
      <c r="Z70" s="34"/>
    </row>
    <row r="71" spans="1:26">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row>
    <row r="72" spans="1:26" ht="13.5">
      <c r="A72" s="34"/>
      <c r="B72" s="915" t="s">
        <v>889</v>
      </c>
      <c r="C72" s="916"/>
      <c r="D72" s="916"/>
      <c r="E72" s="916"/>
      <c r="F72" s="34"/>
      <c r="G72" s="34"/>
      <c r="H72" s="34"/>
      <c r="I72" s="34"/>
      <c r="J72" s="34"/>
      <c r="K72" s="34"/>
      <c r="L72" s="34"/>
      <c r="M72" s="34"/>
      <c r="N72" s="34"/>
      <c r="O72" s="34"/>
      <c r="P72" s="34"/>
      <c r="Q72" s="34"/>
      <c r="R72" s="34"/>
      <c r="S72" s="34"/>
      <c r="T72" s="34"/>
      <c r="U72" s="34"/>
      <c r="V72" s="34"/>
      <c r="W72" s="34"/>
      <c r="X72" s="34"/>
      <c r="Y72" s="34"/>
      <c r="Z72" s="34"/>
    </row>
    <row r="73" spans="1:26" ht="13.5">
      <c r="A73" s="34"/>
      <c r="B73" s="917" t="s">
        <v>890</v>
      </c>
      <c r="C73" s="34"/>
      <c r="D73" s="34"/>
      <c r="E73" s="34"/>
      <c r="F73" s="34"/>
      <c r="G73" s="613" t="s">
        <v>768</v>
      </c>
      <c r="H73" s="34"/>
      <c r="I73" s="34"/>
      <c r="J73" s="34"/>
      <c r="K73" s="34"/>
      <c r="L73" s="34"/>
      <c r="M73" s="34"/>
      <c r="N73" s="34"/>
      <c r="O73" s="34"/>
      <c r="P73" s="34"/>
      <c r="Q73" s="756"/>
      <c r="R73" s="34"/>
      <c r="S73" s="34"/>
      <c r="T73" s="34"/>
      <c r="U73" s="34"/>
      <c r="V73" s="34"/>
      <c r="W73" s="34"/>
      <c r="X73" s="34"/>
      <c r="Y73" s="34"/>
      <c r="Z73" s="34"/>
    </row>
    <row r="74" spans="1:26" ht="13.5">
      <c r="A74" s="34"/>
      <c r="B74" s="918"/>
      <c r="C74" s="34"/>
      <c r="D74" s="34"/>
      <c r="E74" s="34"/>
      <c r="F74" s="34"/>
      <c r="G74" s="328"/>
      <c r="H74" s="281"/>
      <c r="I74" s="281"/>
      <c r="J74" s="281"/>
      <c r="K74" s="281"/>
      <c r="L74" s="281"/>
      <c r="M74" s="281"/>
      <c r="N74" s="281"/>
      <c r="O74" s="281"/>
      <c r="P74" s="281"/>
      <c r="Q74" s="281"/>
      <c r="R74" s="395">
        <f>'X-Chart Basics'!D24</f>
        <v>42790</v>
      </c>
      <c r="S74" s="34"/>
      <c r="T74" s="34"/>
      <c r="U74" s="34"/>
      <c r="V74" s="34"/>
      <c r="W74" s="34"/>
      <c r="X74" s="34"/>
      <c r="Y74" s="34"/>
      <c r="Z74" s="34"/>
    </row>
    <row r="75" spans="1:26" ht="13.5">
      <c r="A75" s="34"/>
      <c r="B75" s="918"/>
      <c r="C75" s="34"/>
      <c r="D75" s="34"/>
      <c r="E75" s="34"/>
      <c r="F75" s="34"/>
      <c r="G75" s="282"/>
      <c r="H75" s="46" t="s">
        <v>336</v>
      </c>
      <c r="I75" s="340">
        <v>2013</v>
      </c>
      <c r="J75" s="340">
        <f t="shared" ref="J75:Q75" si="10">I75+1</f>
        <v>2014</v>
      </c>
      <c r="K75" s="340">
        <f t="shared" si="10"/>
        <v>2015</v>
      </c>
      <c r="L75" s="340">
        <f t="shared" si="10"/>
        <v>2016</v>
      </c>
      <c r="M75" s="340">
        <f t="shared" si="10"/>
        <v>2017</v>
      </c>
      <c r="N75" s="340">
        <f t="shared" si="10"/>
        <v>2018</v>
      </c>
      <c r="O75" s="340">
        <f t="shared" si="10"/>
        <v>2019</v>
      </c>
      <c r="P75" s="340">
        <f t="shared" si="10"/>
        <v>2020</v>
      </c>
      <c r="Q75" s="340">
        <f t="shared" si="10"/>
        <v>2021</v>
      </c>
      <c r="R75" s="919">
        <v>2017</v>
      </c>
      <c r="S75" s="34"/>
      <c r="T75" s="34"/>
      <c r="U75" s="34"/>
      <c r="V75" s="34"/>
      <c r="W75" s="34"/>
      <c r="X75" s="34"/>
      <c r="Y75" s="34"/>
      <c r="Z75" s="34"/>
    </row>
    <row r="76" spans="1:26">
      <c r="A76" s="34"/>
      <c r="B76" s="34"/>
      <c r="C76" s="34"/>
      <c r="D76" s="34"/>
      <c r="E76" s="34"/>
      <c r="F76" s="34"/>
      <c r="G76" s="331" t="s">
        <v>630</v>
      </c>
      <c r="H76" s="34"/>
      <c r="I76" s="332">
        <f>'18 Data for Charts'!K306/1000</f>
        <v>0</v>
      </c>
      <c r="J76" s="332">
        <f>'18 Data for Charts'!L306/1000</f>
        <v>0</v>
      </c>
      <c r="K76" s="332">
        <f>'18 Data for Charts'!M306/1000</f>
        <v>0</v>
      </c>
      <c r="L76" s="332">
        <f>'18 Data for Charts'!N306/1000</f>
        <v>0</v>
      </c>
      <c r="M76" s="332">
        <f>'18 Data for Charts'!O306/1000</f>
        <v>0</v>
      </c>
      <c r="N76" s="332">
        <f>'18 Data for Charts'!P306/1000</f>
        <v>0</v>
      </c>
      <c r="O76" s="332" t="e">
        <f>'18 Data for Charts'!#REF!/1000</f>
        <v>#REF!</v>
      </c>
      <c r="P76" s="332" t="e">
        <f>'18 Data for Charts'!#REF!/1000</f>
        <v>#REF!</v>
      </c>
      <c r="Q76" s="332" t="e">
        <f>'18 Data for Charts'!#REF!/1000</f>
        <v>#REF!</v>
      </c>
      <c r="R76" s="467">
        <v>0</v>
      </c>
      <c r="S76" s="34"/>
      <c r="T76" s="34"/>
      <c r="U76" s="34"/>
      <c r="V76" s="34"/>
      <c r="W76" s="34"/>
      <c r="X76" s="34"/>
      <c r="Y76" s="34"/>
      <c r="Z76" s="34"/>
    </row>
    <row r="77" spans="1:26">
      <c r="A77" s="34"/>
      <c r="B77" s="34"/>
      <c r="C77" s="34"/>
      <c r="D77" s="34"/>
      <c r="E77" s="34"/>
      <c r="F77" s="34"/>
      <c r="G77" s="920" t="s">
        <v>859</v>
      </c>
      <c r="H77" s="43"/>
      <c r="I77" s="702">
        <f>'18 Data for Charts'!K284/1000</f>
        <v>0</v>
      </c>
      <c r="J77" s="702">
        <f>'18 Data for Charts'!L284/1000</f>
        <v>0</v>
      </c>
      <c r="K77" s="702">
        <f>'18 Data for Charts'!M284/1000</f>
        <v>0</v>
      </c>
      <c r="L77" s="702">
        <f>'18 Data for Charts'!N284/1000</f>
        <v>0</v>
      </c>
      <c r="M77" s="702">
        <f>'18 Data for Charts'!O284/1000</f>
        <v>0</v>
      </c>
      <c r="N77" s="702">
        <f>'18 Data for Charts'!P284/1000</f>
        <v>0</v>
      </c>
      <c r="O77" s="702" t="e">
        <f>'18 Data for Charts'!#REF!/1000</f>
        <v>#REF!</v>
      </c>
      <c r="P77" s="702" t="e">
        <f>'18 Data for Charts'!#REF!/1000</f>
        <v>#REF!</v>
      </c>
      <c r="Q77" s="702" t="e">
        <f>'18 Data for Charts'!#REF!/1000</f>
        <v>#REF!</v>
      </c>
      <c r="R77" s="921"/>
      <c r="S77" s="34"/>
      <c r="T77" s="34"/>
      <c r="U77" s="34"/>
      <c r="V77" s="34"/>
      <c r="W77" s="34"/>
      <c r="X77" s="34"/>
      <c r="Y77" s="34"/>
      <c r="Z77" s="34"/>
    </row>
    <row r="78" spans="1:26">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1:26">
      <c r="A79" s="34"/>
      <c r="B79" s="819" t="s">
        <v>889</v>
      </c>
      <c r="C79" s="916"/>
      <c r="D79" s="916"/>
      <c r="E79" s="916"/>
      <c r="F79" s="34"/>
      <c r="G79" s="34"/>
      <c r="H79" s="34"/>
      <c r="I79" s="34"/>
      <c r="J79" s="34"/>
      <c r="K79" s="34"/>
      <c r="L79" s="34"/>
      <c r="M79" s="34"/>
      <c r="N79" s="34"/>
      <c r="O79" s="34"/>
      <c r="P79" s="34"/>
      <c r="Q79" s="34"/>
      <c r="R79" s="34"/>
      <c r="S79" s="186"/>
      <c r="T79" s="34"/>
      <c r="U79" s="34"/>
      <c r="V79" s="34"/>
      <c r="W79" s="34"/>
      <c r="X79" s="34"/>
      <c r="Y79" s="34"/>
      <c r="Z79" s="34"/>
    </row>
    <row r="80" spans="1:26" ht="13.5">
      <c r="A80" s="34"/>
      <c r="B80" s="917" t="s">
        <v>913</v>
      </c>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1:26" ht="13.5">
      <c r="A81" s="34"/>
      <c r="B81" s="917" t="s">
        <v>914</v>
      </c>
      <c r="C81" s="34"/>
      <c r="D81" s="34"/>
      <c r="E81" s="34"/>
      <c r="F81" s="34"/>
      <c r="G81" s="34"/>
      <c r="H81" s="34"/>
      <c r="I81" s="709"/>
      <c r="J81" s="34"/>
      <c r="K81" s="34"/>
      <c r="L81" s="34"/>
      <c r="M81" s="34"/>
      <c r="N81" s="34"/>
      <c r="O81" s="34"/>
      <c r="P81" s="34"/>
      <c r="Q81" s="34"/>
      <c r="R81" s="34"/>
      <c r="S81" s="34"/>
      <c r="T81" s="34"/>
      <c r="U81" s="34"/>
      <c r="V81" s="34"/>
      <c r="W81" s="34"/>
      <c r="X81" s="34"/>
      <c r="Y81" s="34"/>
      <c r="Z81" s="34"/>
    </row>
    <row r="82" spans="1:26">
      <c r="A82" s="34"/>
      <c r="B82" s="34"/>
      <c r="C82" s="34"/>
      <c r="D82" s="34"/>
      <c r="E82" s="34"/>
      <c r="F82" s="34"/>
      <c r="G82" s="34"/>
      <c r="H82" s="34"/>
      <c r="I82" s="709"/>
      <c r="J82" s="34"/>
      <c r="K82" s="34"/>
      <c r="L82" s="34"/>
      <c r="M82" s="34"/>
      <c r="N82" s="34"/>
      <c r="O82" s="34"/>
      <c r="P82" s="34"/>
      <c r="Q82" s="34"/>
      <c r="R82" s="34"/>
      <c r="S82" s="34"/>
      <c r="T82" s="34"/>
      <c r="U82" s="34"/>
      <c r="V82" s="34"/>
      <c r="W82" s="34"/>
      <c r="X82" s="34"/>
      <c r="Y82" s="34"/>
      <c r="Z82" s="34"/>
    </row>
    <row r="83" spans="1:26">
      <c r="A83" s="34"/>
      <c r="B83" s="34"/>
      <c r="C83" s="34"/>
      <c r="D83" s="34"/>
      <c r="E83" s="34"/>
      <c r="F83" s="34"/>
      <c r="G83" s="34"/>
      <c r="H83" s="34"/>
      <c r="I83" s="709"/>
      <c r="J83" s="34"/>
      <c r="K83" s="34"/>
      <c r="L83" s="34"/>
      <c r="M83" s="34"/>
      <c r="N83" s="34"/>
      <c r="O83" s="34"/>
      <c r="P83" s="34"/>
      <c r="Q83" s="34"/>
      <c r="R83" s="34"/>
      <c r="S83" s="34"/>
      <c r="T83" s="34"/>
      <c r="U83" s="34"/>
      <c r="V83" s="34"/>
      <c r="W83" s="34"/>
      <c r="X83" s="34"/>
      <c r="Y83" s="34"/>
      <c r="Z83" s="34"/>
    </row>
    <row r="84" spans="1:26">
      <c r="A84" s="34"/>
      <c r="B84" s="34"/>
      <c r="C84" s="34"/>
      <c r="D84" s="34"/>
      <c r="E84" s="34"/>
      <c r="F84" s="34"/>
      <c r="G84" s="34"/>
      <c r="H84" s="34"/>
      <c r="I84" s="709"/>
      <c r="J84" s="34"/>
      <c r="K84" s="34"/>
      <c r="L84" s="34"/>
      <c r="M84" s="34"/>
      <c r="N84" s="34"/>
      <c r="O84" s="34"/>
      <c r="P84" s="34"/>
      <c r="Q84" s="34"/>
      <c r="R84" s="34"/>
      <c r="S84" s="34"/>
      <c r="T84" s="34"/>
      <c r="U84" s="34"/>
      <c r="V84" s="34"/>
      <c r="W84" s="34"/>
      <c r="X84" s="34"/>
      <c r="Y84" s="34"/>
      <c r="Z84" s="34"/>
    </row>
    <row r="85" spans="1:26">
      <c r="A85" s="34"/>
      <c r="B85" s="34"/>
      <c r="C85" s="34"/>
      <c r="D85" s="34"/>
      <c r="E85" s="34"/>
      <c r="F85" s="34"/>
      <c r="G85" s="34"/>
      <c r="H85" s="34"/>
      <c r="I85" s="709"/>
      <c r="J85" s="34"/>
      <c r="K85" s="34"/>
      <c r="L85" s="34"/>
      <c r="M85" s="34"/>
      <c r="N85" s="34"/>
      <c r="O85" s="34"/>
      <c r="P85" s="34"/>
      <c r="Q85" s="34"/>
      <c r="R85" s="34"/>
      <c r="S85" s="34"/>
      <c r="T85" s="34"/>
      <c r="U85" s="34"/>
      <c r="V85" s="34"/>
      <c r="W85" s="34"/>
      <c r="X85" s="34"/>
      <c r="Y85" s="34"/>
      <c r="Z85" s="34"/>
    </row>
    <row r="86" spans="1:26">
      <c r="A86" s="34"/>
      <c r="B86" s="34"/>
      <c r="C86" s="34"/>
      <c r="D86" s="34"/>
      <c r="E86" s="34"/>
      <c r="F86" s="34"/>
      <c r="G86" s="34"/>
      <c r="H86" s="34"/>
      <c r="I86" s="709"/>
      <c r="J86" s="34"/>
      <c r="K86" s="34"/>
      <c r="L86" s="34"/>
      <c r="M86" s="34"/>
      <c r="N86" s="34"/>
      <c r="O86" s="34"/>
      <c r="P86" s="34"/>
      <c r="Q86" s="34"/>
      <c r="R86" s="34"/>
      <c r="S86" s="34"/>
      <c r="T86" s="34"/>
      <c r="U86" s="34"/>
      <c r="V86" s="34"/>
      <c r="W86" s="34"/>
      <c r="X86" s="34"/>
      <c r="Y86" s="34"/>
      <c r="Z86" s="34"/>
    </row>
    <row r="87" spans="1:26">
      <c r="A87" s="34"/>
      <c r="B87" s="34"/>
      <c r="C87" s="34"/>
      <c r="D87" s="34"/>
      <c r="E87" s="34"/>
      <c r="F87" s="34"/>
      <c r="G87" s="34"/>
      <c r="H87" s="34"/>
      <c r="I87" s="709"/>
      <c r="J87" s="34"/>
      <c r="K87" s="34"/>
      <c r="L87" s="34"/>
      <c r="M87" s="34"/>
      <c r="N87" s="34"/>
      <c r="O87" s="34"/>
      <c r="P87" s="34"/>
      <c r="Q87" s="34"/>
      <c r="R87" s="34"/>
      <c r="S87" s="34"/>
      <c r="T87" s="34"/>
      <c r="U87" s="34"/>
      <c r="V87" s="34"/>
      <c r="W87" s="34"/>
      <c r="X87" s="34"/>
      <c r="Y87" s="34"/>
      <c r="Z87" s="34"/>
    </row>
    <row r="88" spans="1:26">
      <c r="A88" s="34"/>
      <c r="B88" s="34"/>
      <c r="C88" s="34"/>
      <c r="D88" s="34"/>
      <c r="E88" s="34"/>
      <c r="F88" s="34"/>
      <c r="G88" s="34"/>
      <c r="H88" s="34"/>
      <c r="I88" s="709"/>
      <c r="J88" s="34"/>
      <c r="K88" s="34"/>
      <c r="L88" s="34"/>
      <c r="M88" s="34"/>
      <c r="N88" s="34"/>
      <c r="O88" s="34"/>
      <c r="P88" s="34"/>
      <c r="Q88" s="34"/>
      <c r="R88" s="34"/>
      <c r="S88" s="34"/>
      <c r="T88" s="34"/>
      <c r="U88" s="34"/>
      <c r="V88" s="34"/>
      <c r="W88" s="34"/>
      <c r="X88" s="34"/>
      <c r="Y88" s="34"/>
      <c r="Z88" s="34"/>
    </row>
    <row r="89" spans="1:26">
      <c r="A89" s="34"/>
      <c r="B89" s="34"/>
      <c r="C89" s="34"/>
      <c r="D89" s="34"/>
      <c r="E89" s="34"/>
      <c r="F89" s="34"/>
      <c r="G89" s="34"/>
      <c r="H89" s="34"/>
      <c r="I89" s="709"/>
      <c r="J89" s="34"/>
      <c r="K89" s="34"/>
      <c r="L89" s="34"/>
      <c r="M89" s="34"/>
      <c r="N89" s="34"/>
      <c r="O89" s="34"/>
      <c r="P89" s="34"/>
      <c r="Q89" s="34"/>
      <c r="R89" s="34"/>
      <c r="S89" s="34"/>
      <c r="T89" s="34"/>
      <c r="U89" s="34"/>
      <c r="V89" s="34"/>
      <c r="W89" s="34"/>
      <c r="X89" s="34"/>
      <c r="Y89" s="34"/>
      <c r="Z89" s="34"/>
    </row>
    <row r="90" spans="1:26">
      <c r="A90" s="34"/>
      <c r="B90" s="34"/>
      <c r="C90" s="34"/>
      <c r="D90" s="34"/>
      <c r="E90" s="34"/>
      <c r="F90" s="34"/>
      <c r="G90" s="34"/>
      <c r="H90" s="34"/>
      <c r="I90" s="709"/>
      <c r="J90" s="34"/>
      <c r="K90" s="34"/>
      <c r="L90" s="34"/>
      <c r="M90" s="34"/>
      <c r="N90" s="34"/>
      <c r="O90" s="34"/>
      <c r="P90" s="34"/>
      <c r="Q90" s="34"/>
      <c r="R90" s="34"/>
      <c r="S90" s="34"/>
      <c r="T90" s="34"/>
      <c r="U90" s="34"/>
      <c r="V90" s="34"/>
      <c r="W90" s="34"/>
      <c r="X90" s="34"/>
      <c r="Y90" s="34"/>
      <c r="Z90" s="34"/>
    </row>
    <row r="91" spans="1:26">
      <c r="A91" s="34"/>
      <c r="B91" s="34"/>
      <c r="C91" s="34"/>
      <c r="D91" s="34"/>
      <c r="E91" s="34"/>
      <c r="F91" s="34"/>
      <c r="G91" s="34"/>
      <c r="H91" s="34"/>
      <c r="I91" s="709"/>
      <c r="J91" s="34"/>
      <c r="K91" s="34"/>
      <c r="L91" s="34"/>
      <c r="M91" s="34"/>
      <c r="N91" s="34"/>
      <c r="O91" s="34"/>
      <c r="P91" s="34"/>
      <c r="Q91" s="756"/>
      <c r="R91" s="34"/>
      <c r="S91" s="34"/>
      <c r="T91" s="34"/>
      <c r="U91" s="34"/>
      <c r="V91" s="34"/>
      <c r="W91" s="34"/>
      <c r="X91" s="34"/>
      <c r="Y91" s="34"/>
      <c r="Z91" s="34"/>
    </row>
    <row r="92" spans="1:26">
      <c r="A92" s="34"/>
      <c r="B92" s="34"/>
      <c r="C92" s="34"/>
      <c r="D92" s="34"/>
      <c r="E92" s="34"/>
      <c r="F92" s="34"/>
      <c r="G92" s="34"/>
      <c r="H92" s="34"/>
      <c r="I92" s="709"/>
      <c r="J92" s="34"/>
      <c r="K92" s="34"/>
      <c r="L92" s="34"/>
      <c r="M92" s="34"/>
      <c r="N92" s="34"/>
      <c r="O92" s="34"/>
      <c r="P92" s="34"/>
      <c r="Q92" s="756"/>
      <c r="R92" s="34"/>
      <c r="S92" s="34"/>
      <c r="T92" s="34"/>
      <c r="U92" s="34"/>
      <c r="V92" s="34"/>
      <c r="W92" s="34"/>
      <c r="X92" s="34"/>
      <c r="Y92" s="34"/>
      <c r="Z92" s="34"/>
    </row>
    <row r="93" spans="1:26">
      <c r="A93" s="34"/>
      <c r="B93" s="34"/>
      <c r="C93" s="34"/>
      <c r="D93" s="34"/>
      <c r="E93" s="34"/>
      <c r="F93" s="34"/>
      <c r="G93" s="34"/>
      <c r="H93" s="34"/>
      <c r="I93" s="709"/>
      <c r="J93" s="34"/>
      <c r="K93" s="34"/>
      <c r="L93" s="34"/>
      <c r="M93" s="34"/>
      <c r="N93" s="34"/>
      <c r="O93" s="34"/>
      <c r="P93" s="34"/>
      <c r="Q93" s="756"/>
      <c r="R93" s="34"/>
      <c r="S93" s="34"/>
      <c r="T93" s="34"/>
      <c r="U93" s="34"/>
      <c r="V93" s="34"/>
      <c r="W93" s="34"/>
      <c r="X93" s="34"/>
      <c r="Y93" s="34"/>
      <c r="Z93" s="34"/>
    </row>
    <row r="94" spans="1:26">
      <c r="A94" s="34"/>
      <c r="B94" s="34"/>
      <c r="C94" s="34"/>
      <c r="D94" s="34"/>
      <c r="E94" s="34"/>
      <c r="F94" s="34"/>
      <c r="G94" s="34"/>
      <c r="H94" s="34"/>
      <c r="I94" s="709"/>
      <c r="J94" s="34"/>
      <c r="K94" s="34"/>
      <c r="L94" s="34"/>
      <c r="M94" s="34"/>
      <c r="N94" s="34"/>
      <c r="O94" s="34"/>
      <c r="P94" s="34"/>
      <c r="Q94" s="756"/>
      <c r="R94" s="34"/>
      <c r="S94" s="34"/>
      <c r="T94" s="34"/>
      <c r="U94" s="34"/>
      <c r="V94" s="34"/>
      <c r="W94" s="34"/>
      <c r="X94" s="34"/>
      <c r="Y94" s="34"/>
      <c r="Z94" s="34"/>
    </row>
    <row r="95" spans="1:26">
      <c r="A95" s="34"/>
      <c r="B95" s="34"/>
      <c r="C95" s="34"/>
      <c r="D95" s="34"/>
      <c r="E95" s="34"/>
      <c r="F95" s="34"/>
      <c r="G95" s="34"/>
      <c r="H95" s="34"/>
      <c r="I95" s="709"/>
      <c r="J95" s="34"/>
      <c r="K95" s="34"/>
      <c r="L95" s="34"/>
      <c r="M95" s="34"/>
      <c r="N95" s="34"/>
      <c r="O95" s="34"/>
      <c r="P95" s="34"/>
      <c r="Q95" s="756"/>
      <c r="R95" s="34"/>
      <c r="S95" s="34"/>
      <c r="T95" s="34"/>
      <c r="U95" s="34"/>
      <c r="V95" s="34"/>
      <c r="W95" s="34"/>
      <c r="X95" s="34"/>
      <c r="Y95" s="34"/>
      <c r="Z95" s="34"/>
    </row>
    <row r="96" spans="1:26">
      <c r="A96" s="34"/>
      <c r="B96" s="34"/>
      <c r="C96" s="34"/>
      <c r="D96" s="34"/>
      <c r="E96" s="34"/>
      <c r="F96" s="34"/>
      <c r="G96" s="34"/>
      <c r="H96" s="34"/>
      <c r="I96" s="709"/>
      <c r="J96" s="34"/>
      <c r="K96" s="34"/>
      <c r="L96" s="34"/>
      <c r="M96" s="34"/>
      <c r="N96" s="34"/>
      <c r="O96" s="34"/>
      <c r="P96" s="34"/>
      <c r="Q96" s="756"/>
      <c r="R96" s="34"/>
      <c r="S96" s="34"/>
      <c r="T96" s="34"/>
      <c r="U96" s="34"/>
      <c r="V96" s="34"/>
      <c r="W96" s="34"/>
      <c r="X96" s="34"/>
      <c r="Y96" s="34"/>
      <c r="Z96" s="34"/>
    </row>
    <row r="97" spans="1:26">
      <c r="A97" s="34"/>
      <c r="B97" s="34"/>
      <c r="C97" s="34"/>
      <c r="D97" s="34"/>
      <c r="E97" s="34"/>
      <c r="F97" s="34"/>
      <c r="G97" s="34"/>
      <c r="H97" s="34"/>
      <c r="I97" s="709"/>
      <c r="J97" s="34"/>
      <c r="K97" s="34"/>
      <c r="L97" s="34"/>
      <c r="M97" s="34"/>
      <c r="N97" s="34"/>
      <c r="O97" s="34"/>
      <c r="P97" s="34"/>
      <c r="Q97" s="756"/>
      <c r="R97" s="34"/>
      <c r="S97" s="34"/>
      <c r="T97" s="34"/>
      <c r="U97" s="34"/>
      <c r="V97" s="34"/>
      <c r="W97" s="34"/>
      <c r="X97" s="34"/>
      <c r="Y97" s="34"/>
      <c r="Z97" s="34"/>
    </row>
    <row r="98" spans="1:26">
      <c r="A98" s="34"/>
      <c r="B98" s="34"/>
      <c r="C98" s="34"/>
      <c r="D98" s="34"/>
      <c r="E98" s="34"/>
      <c r="F98" s="34"/>
      <c r="G98" s="34"/>
      <c r="H98" s="34"/>
      <c r="I98" s="709"/>
      <c r="J98" s="34"/>
      <c r="K98" s="34"/>
      <c r="L98" s="34"/>
      <c r="M98" s="34"/>
      <c r="N98" s="34"/>
      <c r="O98" s="34"/>
      <c r="P98" s="34"/>
      <c r="Q98" s="756"/>
      <c r="R98" s="34"/>
      <c r="S98" s="34"/>
      <c r="T98" s="34"/>
      <c r="U98" s="34"/>
      <c r="V98" s="34"/>
      <c r="W98" s="34"/>
      <c r="X98" s="34"/>
      <c r="Y98" s="34"/>
      <c r="Z98" s="34"/>
    </row>
    <row r="99" spans="1:26">
      <c r="A99" s="34"/>
      <c r="B99" s="34"/>
      <c r="C99" s="34"/>
      <c r="D99" s="34"/>
      <c r="E99" s="34"/>
      <c r="F99" s="34"/>
      <c r="G99" s="34"/>
      <c r="H99" s="34"/>
      <c r="I99" s="709"/>
      <c r="J99" s="34"/>
      <c r="K99" s="34"/>
      <c r="L99" s="34"/>
      <c r="M99" s="34"/>
      <c r="N99" s="34"/>
      <c r="O99" s="34"/>
      <c r="P99" s="34"/>
      <c r="Q99" s="756"/>
      <c r="R99" s="34"/>
      <c r="S99" s="34"/>
      <c r="T99" s="34"/>
      <c r="U99" s="34"/>
      <c r="V99" s="34"/>
      <c r="W99" s="34"/>
      <c r="X99" s="34"/>
      <c r="Y99" s="34"/>
      <c r="Z99" s="34"/>
    </row>
    <row r="100" spans="1:26">
      <c r="A100" s="34"/>
      <c r="B100" s="34"/>
      <c r="C100" s="34"/>
      <c r="D100" s="34"/>
      <c r="E100" s="34"/>
      <c r="F100" s="34"/>
      <c r="G100" s="34"/>
      <c r="H100" s="34"/>
      <c r="I100" s="709"/>
      <c r="J100" s="34"/>
      <c r="K100" s="34"/>
      <c r="L100" s="34"/>
      <c r="M100" s="34"/>
      <c r="N100" s="34"/>
      <c r="O100" s="34"/>
      <c r="P100" s="34"/>
      <c r="Q100" s="756"/>
      <c r="R100" s="34"/>
      <c r="S100" s="34"/>
      <c r="T100" s="34"/>
      <c r="U100" s="34"/>
      <c r="V100" s="34"/>
      <c r="W100" s="34"/>
      <c r="X100" s="34"/>
      <c r="Y100" s="34"/>
      <c r="Z100" s="34"/>
    </row>
    <row r="101" spans="1:26">
      <c r="A101" s="34"/>
      <c r="B101" s="34"/>
      <c r="C101" s="34"/>
      <c r="D101" s="34"/>
      <c r="E101" s="34"/>
      <c r="F101" s="34"/>
      <c r="G101" s="34"/>
      <c r="H101" s="34"/>
      <c r="I101" s="709"/>
      <c r="J101" s="34"/>
      <c r="K101" s="34"/>
      <c r="L101" s="34"/>
      <c r="M101" s="34"/>
      <c r="N101" s="34"/>
      <c r="O101" s="34"/>
      <c r="P101" s="34"/>
      <c r="Q101" s="756"/>
      <c r="R101" s="34"/>
      <c r="S101" s="34"/>
      <c r="T101" s="34"/>
      <c r="U101" s="34"/>
      <c r="V101" s="34"/>
      <c r="W101" s="34"/>
      <c r="X101" s="34"/>
      <c r="Y101" s="34"/>
      <c r="Z101" s="34"/>
    </row>
    <row r="102" spans="1:26">
      <c r="A102" s="34"/>
      <c r="B102" s="34"/>
      <c r="C102" s="34"/>
      <c r="D102" s="34"/>
      <c r="E102" s="34"/>
      <c r="F102" s="34"/>
      <c r="G102" s="34"/>
      <c r="H102" s="34"/>
      <c r="I102" s="709"/>
      <c r="J102" s="34"/>
      <c r="K102" s="34"/>
      <c r="L102" s="34"/>
      <c r="M102" s="34"/>
      <c r="N102" s="34"/>
      <c r="O102" s="34"/>
      <c r="P102" s="34"/>
      <c r="Q102" s="756"/>
      <c r="R102" s="34"/>
      <c r="S102" s="34"/>
      <c r="T102" s="34"/>
      <c r="U102" s="34"/>
      <c r="V102" s="34"/>
      <c r="W102" s="34"/>
      <c r="X102" s="34"/>
      <c r="Y102" s="34"/>
      <c r="Z102" s="34"/>
    </row>
    <row r="103" spans="1:26">
      <c r="A103" s="34"/>
      <c r="B103" s="34"/>
      <c r="C103" s="34"/>
      <c r="D103" s="34"/>
      <c r="E103" s="34"/>
      <c r="F103" s="34"/>
      <c r="G103" s="34"/>
      <c r="H103" s="34"/>
      <c r="I103" s="709"/>
      <c r="J103" s="34"/>
      <c r="K103" s="34"/>
      <c r="L103" s="34"/>
      <c r="M103" s="34"/>
      <c r="N103" s="34"/>
      <c r="O103" s="34"/>
      <c r="P103" s="34"/>
      <c r="Q103" s="756"/>
      <c r="R103" s="34"/>
      <c r="S103" s="34"/>
      <c r="T103" s="34"/>
      <c r="U103" s="34"/>
      <c r="V103" s="34"/>
      <c r="W103" s="34"/>
      <c r="X103" s="34"/>
      <c r="Y103" s="34"/>
      <c r="Z103" s="34"/>
    </row>
    <row r="104" spans="1:26">
      <c r="A104" s="34"/>
      <c r="B104" s="34"/>
      <c r="C104" s="34"/>
      <c r="D104" s="34"/>
      <c r="E104" s="34"/>
      <c r="F104" s="34"/>
      <c r="G104" s="34"/>
      <c r="H104" s="34"/>
      <c r="I104" s="709"/>
      <c r="J104" s="34"/>
      <c r="K104" s="34"/>
      <c r="L104" s="34"/>
      <c r="M104" s="34"/>
      <c r="N104" s="34"/>
      <c r="O104" s="34"/>
      <c r="P104" s="34"/>
      <c r="Q104" s="756"/>
      <c r="R104" s="34"/>
      <c r="S104" s="34"/>
      <c r="T104" s="34"/>
      <c r="U104" s="34"/>
      <c r="V104" s="34"/>
      <c r="W104" s="34"/>
      <c r="X104" s="34"/>
      <c r="Y104" s="34"/>
      <c r="Z104" s="34"/>
    </row>
    <row r="105" spans="1:26">
      <c r="A105" s="34"/>
      <c r="B105" s="34"/>
      <c r="C105" s="34"/>
      <c r="D105" s="34"/>
      <c r="E105" s="34"/>
      <c r="F105" s="34"/>
      <c r="G105" s="922" t="s">
        <v>915</v>
      </c>
      <c r="H105" s="709"/>
      <c r="I105" s="709"/>
      <c r="J105" s="709"/>
      <c r="K105" s="709"/>
      <c r="L105" s="709"/>
      <c r="M105" s="709"/>
      <c r="N105" s="709"/>
      <c r="O105" s="34"/>
      <c r="P105" s="34"/>
      <c r="Q105" s="756"/>
      <c r="R105" s="34"/>
      <c r="S105" s="34"/>
      <c r="T105" s="34"/>
      <c r="U105" s="34"/>
      <c r="V105" s="34"/>
      <c r="W105" s="34"/>
      <c r="X105" s="34"/>
      <c r="Y105" s="34"/>
      <c r="Z105" s="34"/>
    </row>
    <row r="106" spans="1:26" ht="13.5">
      <c r="A106" s="34"/>
      <c r="B106" s="34"/>
      <c r="C106" s="34"/>
      <c r="D106" s="34"/>
      <c r="E106" s="34"/>
      <c r="F106" s="34"/>
      <c r="G106" s="923" t="s">
        <v>916</v>
      </c>
      <c r="H106" s="924">
        <v>8290</v>
      </c>
      <c r="I106" s="709"/>
      <c r="J106" s="924">
        <v>6242</v>
      </c>
      <c r="K106" s="925">
        <v>2048</v>
      </c>
      <c r="L106" s="924">
        <v>762</v>
      </c>
      <c r="M106" s="925">
        <v>1286</v>
      </c>
      <c r="N106" s="926"/>
      <c r="O106" s="34"/>
      <c r="P106" s="34"/>
      <c r="Q106" s="756"/>
      <c r="R106" s="34"/>
      <c r="S106" s="34"/>
      <c r="T106" s="34"/>
      <c r="U106" s="34"/>
      <c r="V106" s="34"/>
      <c r="W106" s="34"/>
      <c r="X106" s="34"/>
      <c r="Y106" s="34"/>
      <c r="Z106" s="34"/>
    </row>
    <row r="107" spans="1:26" ht="13.5">
      <c r="A107" s="34"/>
      <c r="B107" s="34"/>
      <c r="C107" s="34"/>
      <c r="D107" s="34"/>
      <c r="E107" s="34"/>
      <c r="F107" s="34"/>
      <c r="G107" s="927" t="s">
        <v>917</v>
      </c>
      <c r="H107" s="926"/>
      <c r="I107" s="926"/>
      <c r="J107" s="926"/>
      <c r="K107" s="926"/>
      <c r="L107" s="926"/>
      <c r="M107" s="926"/>
      <c r="N107" s="926"/>
      <c r="O107" s="34"/>
      <c r="P107" s="34"/>
      <c r="Q107" s="34"/>
      <c r="R107" s="34"/>
      <c r="S107" s="34"/>
      <c r="T107" s="34"/>
      <c r="U107" s="34"/>
      <c r="V107" s="34"/>
      <c r="W107" s="34"/>
      <c r="X107" s="34"/>
      <c r="Y107" s="34"/>
      <c r="Z107" s="34"/>
    </row>
    <row r="108" spans="1:26" ht="13.5">
      <c r="A108" s="34"/>
      <c r="B108" s="34"/>
      <c r="C108" s="34"/>
      <c r="D108" s="34"/>
      <c r="E108" s="34"/>
      <c r="F108" s="34"/>
      <c r="G108" s="923" t="s">
        <v>916</v>
      </c>
      <c r="H108" s="924">
        <v>3006</v>
      </c>
      <c r="I108" s="709"/>
      <c r="J108" s="924">
        <v>2263</v>
      </c>
      <c r="K108" s="924">
        <v>742</v>
      </c>
      <c r="L108" s="926"/>
      <c r="M108" s="926"/>
      <c r="N108" s="926"/>
      <c r="O108" s="34"/>
      <c r="P108" s="34"/>
      <c r="Q108" s="34"/>
      <c r="R108" s="34"/>
      <c r="S108" s="34"/>
      <c r="T108" s="34"/>
      <c r="U108" s="34"/>
      <c r="V108" s="34"/>
      <c r="W108" s="34"/>
      <c r="X108" s="34"/>
      <c r="Y108" s="34"/>
      <c r="Z108" s="34"/>
    </row>
    <row r="109" spans="1:26">
      <c r="A109" s="769"/>
      <c r="B109" s="819" t="s">
        <v>889</v>
      </c>
      <c r="C109" s="916"/>
      <c r="D109" s="916"/>
      <c r="E109" s="916"/>
      <c r="F109" s="34"/>
      <c r="G109" s="34"/>
      <c r="H109" s="34"/>
      <c r="I109" s="34"/>
      <c r="J109" s="34"/>
      <c r="K109" s="34"/>
      <c r="L109" s="34"/>
      <c r="M109" s="34"/>
      <c r="N109" s="34"/>
      <c r="O109" s="34"/>
      <c r="P109" s="34"/>
      <c r="Q109" s="34"/>
      <c r="R109" s="34"/>
      <c r="S109" s="34"/>
      <c r="T109" s="34"/>
      <c r="U109" s="34"/>
      <c r="V109" s="34"/>
      <c r="W109" s="34"/>
      <c r="X109" s="34"/>
      <c r="Y109" s="34"/>
      <c r="Z109" s="34"/>
    </row>
    <row r="110" spans="1:26" ht="13.5">
      <c r="A110" s="769"/>
      <c r="B110" s="917" t="s">
        <v>913</v>
      </c>
      <c r="C110" s="34"/>
      <c r="D110" s="34"/>
      <c r="E110" s="34"/>
      <c r="F110" s="34"/>
      <c r="G110" s="34"/>
      <c r="H110" s="34"/>
      <c r="I110" s="34"/>
      <c r="J110" s="34"/>
      <c r="K110" s="34"/>
      <c r="L110" s="34"/>
      <c r="M110" s="34"/>
      <c r="N110" s="709"/>
      <c r="O110" s="34"/>
      <c r="P110" s="34"/>
      <c r="Q110" s="34"/>
      <c r="R110" s="34"/>
      <c r="S110" s="34"/>
      <c r="T110" s="34"/>
      <c r="U110" s="34"/>
      <c r="V110" s="34"/>
      <c r="W110" s="34"/>
      <c r="X110" s="34"/>
      <c r="Y110" s="34"/>
      <c r="Z110" s="34"/>
    </row>
    <row r="111" spans="1:26" ht="13.5">
      <c r="A111" s="769"/>
      <c r="B111" s="917" t="s">
        <v>914</v>
      </c>
      <c r="C111" s="34"/>
      <c r="D111" s="34"/>
      <c r="E111" s="34"/>
      <c r="F111" s="34"/>
      <c r="G111" s="34"/>
      <c r="H111" s="34"/>
      <c r="I111" s="34"/>
      <c r="J111" s="34"/>
      <c r="K111" s="34"/>
      <c r="L111" s="34"/>
      <c r="M111" s="34"/>
      <c r="N111" s="709"/>
      <c r="O111" s="34"/>
      <c r="P111" s="34"/>
      <c r="Q111" s="34"/>
      <c r="R111" s="34"/>
      <c r="S111" s="34"/>
      <c r="T111" s="34"/>
      <c r="U111" s="34"/>
      <c r="V111" s="34"/>
      <c r="W111" s="34"/>
      <c r="X111" s="34"/>
      <c r="Y111" s="34"/>
      <c r="Z111" s="34"/>
    </row>
    <row r="112" spans="1:26">
      <c r="A112" s="769"/>
      <c r="B112" s="769"/>
      <c r="C112" s="34"/>
      <c r="D112" s="34"/>
      <c r="E112" s="34"/>
      <c r="F112" s="34"/>
      <c r="G112" s="34"/>
      <c r="H112" s="34"/>
      <c r="I112" s="34"/>
      <c r="J112" s="34"/>
      <c r="K112" s="34"/>
      <c r="L112" s="34"/>
      <c r="M112" s="34"/>
      <c r="N112" s="709"/>
      <c r="O112" s="34"/>
      <c r="P112" s="34"/>
      <c r="Q112" s="34"/>
      <c r="R112" s="34"/>
      <c r="S112" s="34"/>
      <c r="T112" s="34"/>
      <c r="U112" s="34"/>
      <c r="V112" s="34"/>
      <c r="W112" s="34"/>
      <c r="X112" s="34"/>
      <c r="Y112" s="34"/>
      <c r="Z112" s="34"/>
    </row>
    <row r="113" spans="1:26">
      <c r="A113" s="769"/>
      <c r="B113" s="769"/>
      <c r="C113" s="34"/>
      <c r="D113" s="34"/>
      <c r="E113" s="34"/>
      <c r="F113" s="34"/>
      <c r="G113" s="34"/>
      <c r="H113" s="34"/>
      <c r="I113" s="34"/>
      <c r="J113" s="34"/>
      <c r="K113" s="34"/>
      <c r="L113" s="34"/>
      <c r="M113" s="34"/>
      <c r="N113" s="709"/>
      <c r="O113" s="34"/>
      <c r="P113" s="34"/>
      <c r="Q113" s="34"/>
      <c r="R113" s="34"/>
      <c r="S113" s="34"/>
      <c r="T113" s="34"/>
      <c r="U113" s="34"/>
      <c r="V113" s="34"/>
      <c r="W113" s="34"/>
      <c r="X113" s="34"/>
      <c r="Y113" s="34"/>
      <c r="Z113" s="34"/>
    </row>
    <row r="114" spans="1:26">
      <c r="A114" s="769"/>
      <c r="B114" s="769"/>
      <c r="C114" s="34"/>
      <c r="D114" s="34"/>
      <c r="E114" s="34"/>
      <c r="F114" s="34"/>
      <c r="G114" s="34"/>
      <c r="H114" s="34"/>
      <c r="I114" s="34"/>
      <c r="J114" s="34"/>
      <c r="K114" s="34"/>
      <c r="L114" s="34"/>
      <c r="M114" s="34"/>
      <c r="N114" s="709"/>
      <c r="O114" s="34"/>
      <c r="P114" s="34"/>
      <c r="Q114" s="34"/>
      <c r="R114" s="34"/>
      <c r="S114" s="34"/>
      <c r="T114" s="34"/>
      <c r="U114" s="34"/>
      <c r="V114" s="34"/>
      <c r="W114" s="34"/>
      <c r="X114" s="34"/>
      <c r="Y114" s="34"/>
      <c r="Z114" s="34"/>
    </row>
    <row r="115" spans="1:26">
      <c r="A115" s="769"/>
      <c r="B115" s="769"/>
      <c r="C115" s="34"/>
      <c r="D115" s="34"/>
      <c r="E115" s="34"/>
      <c r="F115" s="34"/>
      <c r="G115" s="34"/>
      <c r="H115" s="34"/>
      <c r="I115" s="34"/>
      <c r="J115" s="34"/>
      <c r="K115" s="34"/>
      <c r="L115" s="34"/>
      <c r="M115" s="34"/>
      <c r="N115" s="709"/>
      <c r="O115" s="34"/>
      <c r="P115" s="34"/>
      <c r="Q115" s="34"/>
      <c r="R115" s="34"/>
      <c r="S115" s="34"/>
      <c r="T115" s="34"/>
      <c r="U115" s="34"/>
      <c r="V115" s="34"/>
      <c r="W115" s="34"/>
      <c r="X115" s="34"/>
      <c r="Y115" s="34"/>
      <c r="Z115" s="34"/>
    </row>
    <row r="116" spans="1:26">
      <c r="A116" s="769"/>
      <c r="B116" s="769"/>
      <c r="C116" s="34"/>
      <c r="D116" s="34"/>
      <c r="E116" s="34"/>
      <c r="F116" s="34"/>
      <c r="G116" s="34"/>
      <c r="H116" s="34"/>
      <c r="I116" s="34"/>
      <c r="J116" s="34"/>
      <c r="K116" s="34"/>
      <c r="L116" s="34"/>
      <c r="M116" s="34"/>
      <c r="N116" s="709"/>
      <c r="O116" s="34"/>
      <c r="P116" s="34"/>
      <c r="Q116" s="34"/>
      <c r="R116" s="34"/>
      <c r="S116" s="34"/>
      <c r="T116" s="34"/>
      <c r="U116" s="34"/>
      <c r="V116" s="34"/>
      <c r="W116" s="34"/>
      <c r="X116" s="34"/>
      <c r="Y116" s="34"/>
      <c r="Z116" s="34"/>
    </row>
    <row r="117" spans="1:26">
      <c r="A117" s="769"/>
      <c r="B117" s="769"/>
      <c r="C117" s="34"/>
      <c r="D117" s="34"/>
      <c r="E117" s="34"/>
      <c r="F117" s="34"/>
      <c r="G117" s="34"/>
      <c r="H117" s="34"/>
      <c r="I117" s="34"/>
      <c r="J117" s="34"/>
      <c r="K117" s="34"/>
      <c r="L117" s="34"/>
      <c r="M117" s="34"/>
      <c r="N117" s="709"/>
      <c r="O117" s="34"/>
      <c r="P117" s="34"/>
      <c r="Q117" s="34"/>
      <c r="R117" s="34"/>
      <c r="S117" s="34"/>
      <c r="T117" s="34"/>
      <c r="U117" s="34"/>
      <c r="V117" s="34"/>
      <c r="W117" s="34"/>
      <c r="X117" s="34"/>
      <c r="Y117" s="34"/>
      <c r="Z117" s="34"/>
    </row>
    <row r="118" spans="1:26">
      <c r="A118" s="769"/>
      <c r="B118" s="769"/>
      <c r="C118" s="34"/>
      <c r="D118" s="34"/>
      <c r="E118" s="34"/>
      <c r="F118" s="34"/>
      <c r="G118" s="34"/>
      <c r="H118" s="34"/>
      <c r="I118" s="34"/>
      <c r="J118" s="34"/>
      <c r="K118" s="34"/>
      <c r="L118" s="34"/>
      <c r="M118" s="34"/>
      <c r="N118" s="709"/>
      <c r="O118" s="34"/>
      <c r="P118" s="34"/>
      <c r="Q118" s="34"/>
      <c r="R118" s="34"/>
      <c r="S118" s="34"/>
      <c r="T118" s="34"/>
      <c r="U118" s="34"/>
      <c r="V118" s="34"/>
      <c r="W118" s="34"/>
      <c r="X118" s="34"/>
      <c r="Y118" s="34"/>
      <c r="Z118" s="34"/>
    </row>
    <row r="119" spans="1:26">
      <c r="A119" s="769"/>
      <c r="B119" s="769"/>
      <c r="C119" s="34"/>
      <c r="D119" s="34"/>
      <c r="E119" s="34"/>
      <c r="F119" s="34"/>
      <c r="G119" s="34"/>
      <c r="H119" s="34"/>
      <c r="I119" s="34"/>
      <c r="J119" s="34"/>
      <c r="K119" s="34"/>
      <c r="L119" s="34"/>
      <c r="M119" s="34"/>
      <c r="N119" s="709"/>
      <c r="O119" s="34"/>
      <c r="P119" s="34"/>
      <c r="Q119" s="34"/>
      <c r="R119" s="34"/>
      <c r="S119" s="34"/>
      <c r="T119" s="34"/>
      <c r="U119" s="34"/>
      <c r="V119" s="34"/>
      <c r="W119" s="34"/>
      <c r="X119" s="34"/>
      <c r="Y119" s="34"/>
      <c r="Z119" s="34"/>
    </row>
    <row r="120" spans="1:26">
      <c r="A120" s="769"/>
      <c r="B120" s="769"/>
      <c r="C120" s="34"/>
      <c r="D120" s="34"/>
      <c r="E120" s="34"/>
      <c r="F120" s="34"/>
      <c r="G120" s="34"/>
      <c r="H120" s="34"/>
      <c r="I120" s="34"/>
      <c r="J120" s="34"/>
      <c r="K120" s="34"/>
      <c r="L120" s="34"/>
      <c r="M120" s="34"/>
      <c r="N120" s="709"/>
      <c r="O120" s="34"/>
      <c r="P120" s="34"/>
      <c r="Q120" s="34"/>
      <c r="R120" s="34"/>
      <c r="S120" s="34"/>
      <c r="T120" s="34"/>
      <c r="U120" s="34"/>
      <c r="V120" s="34"/>
      <c r="W120" s="34"/>
      <c r="X120" s="34"/>
      <c r="Y120" s="34"/>
      <c r="Z120" s="34"/>
    </row>
    <row r="121" spans="1:26">
      <c r="A121" s="769"/>
      <c r="B121" s="769"/>
      <c r="C121" s="34"/>
      <c r="D121" s="34"/>
      <c r="E121" s="34"/>
      <c r="F121" s="34"/>
      <c r="G121" s="34"/>
      <c r="H121" s="34"/>
      <c r="I121" s="34"/>
      <c r="J121" s="34"/>
      <c r="K121" s="34"/>
      <c r="L121" s="34"/>
      <c r="M121" s="34"/>
      <c r="N121" s="709"/>
      <c r="O121" s="34"/>
      <c r="P121" s="34"/>
      <c r="Q121" s="34"/>
      <c r="R121" s="34"/>
      <c r="S121" s="34"/>
      <c r="T121" s="34"/>
      <c r="U121" s="34"/>
      <c r="V121" s="34"/>
      <c r="W121" s="34"/>
      <c r="X121" s="34"/>
      <c r="Y121" s="34"/>
      <c r="Z121" s="34"/>
    </row>
    <row r="122" spans="1:26">
      <c r="A122" s="769"/>
      <c r="B122" s="769"/>
      <c r="C122" s="34"/>
      <c r="D122" s="34"/>
      <c r="E122" s="34"/>
      <c r="F122" s="34"/>
      <c r="G122" s="34"/>
      <c r="H122" s="34"/>
      <c r="I122" s="34"/>
      <c r="J122" s="34"/>
      <c r="K122" s="34"/>
      <c r="L122" s="34"/>
      <c r="M122" s="34"/>
      <c r="N122" s="709"/>
      <c r="O122" s="34"/>
      <c r="P122" s="34"/>
      <c r="Q122" s="34"/>
      <c r="R122" s="34"/>
      <c r="S122" s="34"/>
      <c r="T122" s="34"/>
      <c r="U122" s="34"/>
      <c r="V122" s="34"/>
      <c r="W122" s="34"/>
      <c r="X122" s="34"/>
      <c r="Y122" s="34"/>
      <c r="Z122" s="34"/>
    </row>
    <row r="123" spans="1:26">
      <c r="A123" s="769"/>
      <c r="B123" s="769"/>
      <c r="C123" s="34"/>
      <c r="D123" s="34"/>
      <c r="E123" s="34"/>
      <c r="F123" s="34"/>
      <c r="G123" s="34"/>
      <c r="H123" s="34"/>
      <c r="I123" s="34"/>
      <c r="J123" s="34"/>
      <c r="K123" s="34"/>
      <c r="L123" s="34"/>
      <c r="M123" s="34"/>
      <c r="N123" s="709"/>
      <c r="O123" s="34"/>
      <c r="P123" s="34"/>
      <c r="Q123" s="34"/>
      <c r="R123" s="34"/>
      <c r="S123" s="34"/>
      <c r="T123" s="34"/>
      <c r="U123" s="34"/>
      <c r="V123" s="34"/>
      <c r="W123" s="34"/>
      <c r="X123" s="34"/>
      <c r="Y123" s="34"/>
      <c r="Z123" s="34"/>
    </row>
    <row r="124" spans="1:26">
      <c r="A124" s="769"/>
      <c r="B124" s="769"/>
      <c r="C124" s="34"/>
      <c r="D124" s="34"/>
      <c r="E124" s="34"/>
      <c r="F124" s="34"/>
      <c r="G124" s="34"/>
      <c r="H124" s="34"/>
      <c r="I124" s="34"/>
      <c r="J124" s="34"/>
      <c r="K124" s="34"/>
      <c r="L124" s="34"/>
      <c r="M124" s="34"/>
      <c r="N124" s="709"/>
      <c r="O124" s="34"/>
      <c r="P124" s="34"/>
      <c r="Q124" s="34"/>
      <c r="R124" s="34"/>
      <c r="S124" s="34"/>
      <c r="T124" s="34"/>
      <c r="U124" s="34"/>
      <c r="V124" s="34"/>
      <c r="W124" s="34"/>
      <c r="X124" s="34"/>
      <c r="Y124" s="34"/>
      <c r="Z124" s="34"/>
    </row>
    <row r="125" spans="1:26">
      <c r="A125" s="769"/>
      <c r="B125" s="769"/>
      <c r="C125" s="34"/>
      <c r="D125" s="34"/>
      <c r="E125" s="34"/>
      <c r="F125" s="34"/>
      <c r="G125" s="34"/>
      <c r="H125" s="34"/>
      <c r="I125" s="34"/>
      <c r="J125" s="34"/>
      <c r="K125" s="34"/>
      <c r="L125" s="34"/>
      <c r="M125" s="34"/>
      <c r="N125" s="709"/>
      <c r="O125" s="34"/>
      <c r="P125" s="34"/>
      <c r="Q125" s="34"/>
      <c r="R125" s="34"/>
      <c r="S125" s="34"/>
      <c r="T125" s="34"/>
      <c r="U125" s="34"/>
      <c r="V125" s="34"/>
      <c r="W125" s="34"/>
      <c r="X125" s="34"/>
      <c r="Y125" s="34"/>
      <c r="Z125" s="34"/>
    </row>
    <row r="126" spans="1:26">
      <c r="A126" s="769"/>
      <c r="B126" s="769"/>
      <c r="C126" s="34"/>
      <c r="D126" s="34"/>
      <c r="E126" s="34"/>
      <c r="F126" s="34"/>
      <c r="G126" s="34"/>
      <c r="H126" s="34"/>
      <c r="I126" s="34"/>
      <c r="J126" s="34"/>
      <c r="K126" s="34"/>
      <c r="L126" s="34"/>
      <c r="M126" s="34"/>
      <c r="N126" s="709"/>
      <c r="O126" s="34"/>
      <c r="P126" s="34"/>
      <c r="Q126" s="34"/>
      <c r="R126" s="34"/>
      <c r="S126" s="34"/>
      <c r="T126" s="34"/>
      <c r="U126" s="34"/>
      <c r="V126" s="34"/>
      <c r="W126" s="34"/>
      <c r="X126" s="34"/>
      <c r="Y126" s="34"/>
      <c r="Z126" s="34"/>
    </row>
    <row r="127" spans="1:26">
      <c r="A127" s="769"/>
      <c r="B127" s="769"/>
      <c r="C127" s="34"/>
      <c r="D127" s="34"/>
      <c r="E127" s="34"/>
      <c r="F127" s="34"/>
      <c r="G127" s="34"/>
      <c r="H127" s="34"/>
      <c r="I127" s="34"/>
      <c r="J127" s="34"/>
      <c r="K127" s="34"/>
      <c r="L127" s="34"/>
      <c r="M127" s="34"/>
      <c r="N127" s="709"/>
      <c r="O127" s="34"/>
      <c r="P127" s="34"/>
      <c r="Q127" s="34"/>
      <c r="R127" s="34"/>
      <c r="S127" s="34"/>
      <c r="T127" s="34"/>
      <c r="U127" s="34"/>
      <c r="V127" s="34"/>
      <c r="W127" s="34"/>
      <c r="X127" s="34"/>
      <c r="Y127" s="34"/>
      <c r="Z127" s="34"/>
    </row>
    <row r="128" spans="1:26">
      <c r="A128" s="769"/>
      <c r="B128" s="769"/>
      <c r="C128" s="34"/>
      <c r="D128" s="34"/>
      <c r="E128" s="34"/>
      <c r="F128" s="34"/>
      <c r="G128" s="34"/>
      <c r="H128" s="34"/>
      <c r="I128" s="34"/>
      <c r="J128" s="34"/>
      <c r="K128" s="34"/>
      <c r="L128" s="34"/>
      <c r="M128" s="34"/>
      <c r="N128" s="709"/>
      <c r="O128" s="34"/>
      <c r="P128" s="34"/>
      <c r="Q128" s="34"/>
      <c r="R128" s="34"/>
      <c r="S128" s="34"/>
      <c r="T128" s="34"/>
      <c r="U128" s="34"/>
      <c r="V128" s="34"/>
      <c r="W128" s="34"/>
      <c r="X128" s="34"/>
      <c r="Y128" s="34"/>
      <c r="Z128" s="34"/>
    </row>
    <row r="129" spans="1:26">
      <c r="A129" s="769"/>
      <c r="B129" s="769"/>
      <c r="C129" s="34"/>
      <c r="D129" s="34"/>
      <c r="E129" s="34"/>
      <c r="F129" s="34"/>
      <c r="G129" s="34"/>
      <c r="H129" s="34"/>
      <c r="I129" s="34"/>
      <c r="J129" s="34"/>
      <c r="K129" s="34"/>
      <c r="L129" s="34"/>
      <c r="M129" s="34"/>
      <c r="N129" s="709"/>
      <c r="O129" s="34"/>
      <c r="P129" s="34"/>
      <c r="Q129" s="34"/>
      <c r="R129" s="34"/>
      <c r="S129" s="34"/>
      <c r="T129" s="34"/>
      <c r="U129" s="34"/>
      <c r="V129" s="34"/>
      <c r="W129" s="34"/>
      <c r="X129" s="34"/>
      <c r="Y129" s="34"/>
      <c r="Z129" s="34"/>
    </row>
    <row r="130" spans="1:26">
      <c r="A130" s="769"/>
      <c r="B130" s="769"/>
      <c r="C130" s="34"/>
      <c r="D130" s="34"/>
      <c r="E130" s="34"/>
      <c r="F130" s="34"/>
      <c r="G130" s="34"/>
      <c r="H130" s="34"/>
      <c r="I130" s="34"/>
      <c r="J130" s="34"/>
      <c r="K130" s="34"/>
      <c r="L130" s="34"/>
      <c r="M130" s="34"/>
      <c r="N130" s="709"/>
      <c r="O130" s="34"/>
      <c r="P130" s="34"/>
      <c r="Q130" s="34"/>
      <c r="R130" s="34"/>
      <c r="S130" s="34"/>
      <c r="T130" s="34"/>
      <c r="U130" s="34"/>
      <c r="V130" s="34"/>
      <c r="W130" s="34"/>
      <c r="X130" s="34"/>
      <c r="Y130" s="34"/>
      <c r="Z130" s="34"/>
    </row>
    <row r="131" spans="1:26">
      <c r="A131" s="769"/>
      <c r="B131" s="769"/>
      <c r="C131" s="34"/>
      <c r="D131" s="34"/>
      <c r="E131" s="34"/>
      <c r="F131" s="34"/>
      <c r="G131" s="34"/>
      <c r="H131" s="34"/>
      <c r="I131" s="34"/>
      <c r="J131" s="34"/>
      <c r="K131" s="34"/>
      <c r="L131" s="34"/>
      <c r="M131" s="34"/>
      <c r="N131" s="709"/>
      <c r="O131" s="34"/>
      <c r="P131" s="34"/>
      <c r="Q131" s="34"/>
      <c r="R131" s="34"/>
      <c r="S131" s="34"/>
      <c r="T131" s="34"/>
      <c r="U131" s="34"/>
      <c r="V131" s="34"/>
      <c r="W131" s="34"/>
      <c r="X131" s="34"/>
      <c r="Y131" s="34"/>
      <c r="Z131" s="34"/>
    </row>
    <row r="132" spans="1:26">
      <c r="A132" s="769"/>
      <c r="B132" s="769"/>
      <c r="C132" s="34"/>
      <c r="D132" s="34"/>
      <c r="E132" s="34"/>
      <c r="F132" s="34"/>
      <c r="G132" s="34"/>
      <c r="H132" s="34"/>
      <c r="I132" s="34"/>
      <c r="J132" s="34"/>
      <c r="K132" s="34"/>
      <c r="L132" s="34"/>
      <c r="M132" s="34"/>
      <c r="N132" s="709"/>
      <c r="O132" s="34"/>
      <c r="P132" s="34"/>
      <c r="Q132" s="34"/>
      <c r="R132" s="34"/>
      <c r="S132" s="34"/>
      <c r="T132" s="34"/>
      <c r="U132" s="34"/>
      <c r="V132" s="34"/>
      <c r="W132" s="34"/>
      <c r="X132" s="34"/>
      <c r="Y132" s="34"/>
      <c r="Z132" s="34"/>
    </row>
    <row r="133" spans="1:26">
      <c r="A133" s="769"/>
      <c r="B133" s="769"/>
      <c r="C133" s="34"/>
      <c r="D133" s="34"/>
      <c r="E133" s="34"/>
      <c r="F133" s="34"/>
      <c r="G133" s="34"/>
      <c r="H133" s="34"/>
      <c r="I133" s="34"/>
      <c r="J133" s="34"/>
      <c r="K133" s="34"/>
      <c r="L133" s="34"/>
      <c r="M133" s="34"/>
      <c r="N133" s="709"/>
      <c r="O133" s="34"/>
      <c r="P133" s="34"/>
      <c r="Q133" s="34"/>
      <c r="R133" s="34"/>
      <c r="S133" s="34"/>
      <c r="T133" s="34"/>
      <c r="U133" s="34"/>
      <c r="V133" s="34"/>
      <c r="W133" s="34"/>
      <c r="X133" s="34"/>
      <c r="Y133" s="34"/>
      <c r="Z133" s="34"/>
    </row>
    <row r="134" spans="1:26">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1:26">
      <c r="A135" s="34"/>
      <c r="B135" s="34"/>
      <c r="C135" s="34"/>
      <c r="D135" s="34"/>
      <c r="E135" s="34"/>
      <c r="F135" s="34"/>
      <c r="G135" s="922" t="s">
        <v>915</v>
      </c>
      <c r="H135" s="709"/>
      <c r="I135" s="709"/>
      <c r="J135" s="709"/>
      <c r="K135" s="709"/>
      <c r="L135" s="709"/>
      <c r="M135" s="709"/>
      <c r="N135" s="709"/>
      <c r="O135" s="34"/>
      <c r="P135" s="34"/>
      <c r="Q135" s="34"/>
      <c r="R135" s="34"/>
      <c r="S135" s="34"/>
      <c r="T135" s="34"/>
      <c r="U135" s="34"/>
      <c r="V135" s="34"/>
      <c r="W135" s="34"/>
      <c r="X135" s="34"/>
      <c r="Y135" s="34"/>
      <c r="Z135" s="34"/>
    </row>
    <row r="136" spans="1:26" ht="13.5">
      <c r="A136" s="34"/>
      <c r="B136" s="34"/>
      <c r="C136" s="34"/>
      <c r="D136" s="34"/>
      <c r="E136" s="34"/>
      <c r="F136" s="34"/>
      <c r="G136" s="923" t="s">
        <v>916</v>
      </c>
      <c r="H136" s="928">
        <v>9009</v>
      </c>
      <c r="I136" s="926"/>
      <c r="J136" s="925">
        <v>3582</v>
      </c>
      <c r="K136" s="929">
        <v>5427</v>
      </c>
      <c r="L136" s="925">
        <v>5082</v>
      </c>
      <c r="M136" s="925">
        <v>345</v>
      </c>
      <c r="N136" s="709"/>
      <c r="O136" s="34"/>
      <c r="P136" s="34"/>
      <c r="Q136" s="34"/>
      <c r="R136" s="34"/>
      <c r="S136" s="34"/>
      <c r="T136" s="34"/>
      <c r="U136" s="34"/>
      <c r="V136" s="34"/>
      <c r="W136" s="34"/>
      <c r="X136" s="34"/>
      <c r="Y136" s="34"/>
      <c r="Z136" s="34"/>
    </row>
    <row r="137" spans="1:26" ht="13.5">
      <c r="A137" s="34"/>
      <c r="B137" s="34"/>
      <c r="C137" s="34"/>
      <c r="D137" s="34"/>
      <c r="E137" s="34"/>
      <c r="F137" s="34"/>
      <c r="G137" s="927" t="s">
        <v>917</v>
      </c>
      <c r="H137" s="926"/>
      <c r="I137" s="926"/>
      <c r="J137" s="926"/>
      <c r="K137" s="926"/>
      <c r="L137" s="926"/>
      <c r="M137" s="926"/>
      <c r="N137" s="709"/>
      <c r="O137" s="34"/>
      <c r="P137" s="34"/>
      <c r="Q137" s="34"/>
      <c r="R137" s="34"/>
      <c r="S137" s="34"/>
      <c r="T137" s="34"/>
      <c r="U137" s="34"/>
      <c r="V137" s="34"/>
      <c r="W137" s="34"/>
      <c r="X137" s="34"/>
      <c r="Y137" s="34"/>
      <c r="Z137" s="34"/>
    </row>
    <row r="138" spans="1:26" ht="13.5">
      <c r="A138" s="34"/>
      <c r="B138" s="34"/>
      <c r="C138" s="34"/>
      <c r="D138" s="34"/>
      <c r="E138" s="34"/>
      <c r="F138" s="34"/>
      <c r="G138" s="923" t="s">
        <v>916</v>
      </c>
      <c r="H138" s="928">
        <v>4721</v>
      </c>
      <c r="I138" s="926"/>
      <c r="J138" s="928">
        <v>1877</v>
      </c>
      <c r="K138" s="928">
        <v>2844</v>
      </c>
      <c r="L138" s="926"/>
      <c r="M138" s="926"/>
      <c r="N138" s="709"/>
      <c r="O138" s="34"/>
      <c r="P138" s="34"/>
      <c r="Q138" s="34"/>
      <c r="R138" s="34"/>
      <c r="S138" s="34"/>
      <c r="T138" s="34"/>
      <c r="U138" s="34"/>
      <c r="V138" s="34"/>
      <c r="W138" s="34"/>
      <c r="X138" s="34"/>
      <c r="Y138" s="34"/>
      <c r="Z138" s="34"/>
    </row>
    <row r="139" spans="1:26" ht="13.5">
      <c r="A139" s="34"/>
      <c r="B139" s="34"/>
      <c r="C139" s="34"/>
      <c r="D139" s="34"/>
      <c r="E139" s="34"/>
      <c r="F139" s="34"/>
      <c r="G139" s="930"/>
      <c r="H139" s="931"/>
      <c r="I139" s="305"/>
      <c r="J139" s="931"/>
      <c r="K139" s="931"/>
      <c r="L139" s="305"/>
      <c r="M139" s="305"/>
      <c r="N139" s="34"/>
      <c r="O139" s="34"/>
      <c r="P139" s="34"/>
      <c r="Q139" s="34"/>
      <c r="R139" s="34"/>
      <c r="S139" s="34"/>
      <c r="T139" s="34"/>
      <c r="U139" s="34"/>
      <c r="V139" s="34"/>
      <c r="W139" s="34"/>
      <c r="X139" s="34"/>
      <c r="Y139" s="34"/>
      <c r="Z139" s="34"/>
    </row>
    <row r="140" spans="1:26">
      <c r="A140" s="34"/>
      <c r="B140" s="34"/>
      <c r="C140" s="34"/>
      <c r="D140" s="34"/>
      <c r="E140" s="34"/>
      <c r="F140" s="34"/>
      <c r="G140" s="613" t="s">
        <v>768</v>
      </c>
      <c r="H140" s="34"/>
      <c r="I140" s="34"/>
      <c r="J140" s="34"/>
      <c r="K140" s="34"/>
      <c r="L140" s="34"/>
      <c r="M140" s="34"/>
      <c r="N140" s="34"/>
      <c r="O140" s="34"/>
      <c r="P140" s="34"/>
      <c r="Q140" s="34"/>
      <c r="R140" s="34"/>
      <c r="S140" s="34"/>
      <c r="T140" s="34"/>
      <c r="U140" s="34"/>
      <c r="V140" s="34"/>
      <c r="W140" s="34"/>
      <c r="X140" s="34"/>
      <c r="Y140" s="34"/>
      <c r="Z140" s="34"/>
    </row>
    <row r="141" spans="1:26">
      <c r="A141" s="34"/>
      <c r="B141" s="34"/>
      <c r="C141" s="34"/>
      <c r="D141" s="34"/>
      <c r="E141" s="34"/>
      <c r="F141" s="34"/>
      <c r="G141" s="932" t="s">
        <v>630</v>
      </c>
      <c r="H141" s="933"/>
      <c r="I141" s="934" t="s">
        <v>462</v>
      </c>
      <c r="J141" s="935" t="s">
        <v>396</v>
      </c>
      <c r="K141" s="935" t="s">
        <v>579</v>
      </c>
      <c r="L141" s="935" t="s">
        <v>596</v>
      </c>
      <c r="M141" s="935" t="s">
        <v>595</v>
      </c>
      <c r="N141" s="34"/>
      <c r="O141" s="34"/>
      <c r="P141" s="34"/>
      <c r="Q141" s="34"/>
      <c r="R141" s="34"/>
      <c r="S141" s="34"/>
      <c r="T141" s="34"/>
      <c r="U141" s="34"/>
      <c r="V141" s="34"/>
      <c r="W141" s="34"/>
      <c r="X141" s="34"/>
      <c r="Y141" s="34"/>
      <c r="Z141" s="34"/>
    </row>
    <row r="142" spans="1:26">
      <c r="A142" s="34"/>
      <c r="B142" s="34"/>
      <c r="C142" s="34"/>
      <c r="D142" s="34"/>
      <c r="E142" s="34"/>
      <c r="F142" s="34"/>
      <c r="G142" s="932"/>
      <c r="H142" s="932"/>
      <c r="I142" s="286">
        <f>'15b-Charts Comp'!M435</f>
        <v>1</v>
      </c>
      <c r="J142" s="286">
        <f>J106/$H$106</f>
        <v>0.75295536791314832</v>
      </c>
      <c r="K142" s="286">
        <f>K106/$H$106</f>
        <v>0.24704463208685162</v>
      </c>
      <c r="L142" s="286">
        <f>L106/$H$106</f>
        <v>9.1917973462002409E-2</v>
      </c>
      <c r="M142" s="286">
        <f>M106/$H$106</f>
        <v>0.15512665862484923</v>
      </c>
      <c r="N142" s="34"/>
      <c r="O142" s="34"/>
      <c r="P142" s="34"/>
      <c r="Q142" s="34"/>
      <c r="R142" s="34"/>
      <c r="S142" s="34"/>
      <c r="T142" s="34"/>
      <c r="U142" s="34"/>
      <c r="V142" s="34"/>
      <c r="W142" s="34"/>
      <c r="X142" s="34"/>
      <c r="Y142" s="34"/>
      <c r="Z142" s="34"/>
    </row>
    <row r="143" spans="1:26">
      <c r="A143" s="34"/>
      <c r="B143" s="34"/>
      <c r="C143" s="34"/>
      <c r="D143" s="34"/>
      <c r="E143" s="34"/>
      <c r="F143" s="34"/>
      <c r="G143" s="932"/>
      <c r="H143" s="932"/>
      <c r="I143" s="932"/>
      <c r="J143" s="932"/>
      <c r="K143" s="932"/>
      <c r="L143" s="932"/>
      <c r="M143" s="932"/>
      <c r="N143" s="34"/>
      <c r="O143" s="34"/>
      <c r="P143" s="34"/>
      <c r="Q143" s="34"/>
      <c r="R143" s="34"/>
      <c r="S143" s="34"/>
      <c r="T143" s="34"/>
      <c r="U143" s="34"/>
      <c r="V143" s="34"/>
      <c r="W143" s="34"/>
      <c r="X143" s="34"/>
      <c r="Y143" s="34"/>
      <c r="Z143" s="34"/>
    </row>
    <row r="144" spans="1:26">
      <c r="A144" s="34"/>
      <c r="B144" s="34"/>
      <c r="C144" s="34"/>
      <c r="D144" s="34"/>
      <c r="E144" s="34"/>
      <c r="F144" s="34"/>
      <c r="G144" s="932" t="s">
        <v>629</v>
      </c>
      <c r="H144" s="933"/>
      <c r="I144" s="934" t="s">
        <v>462</v>
      </c>
      <c r="J144" s="935" t="s">
        <v>396</v>
      </c>
      <c r="K144" s="935" t="s">
        <v>579</v>
      </c>
      <c r="L144" s="935" t="s">
        <v>596</v>
      </c>
      <c r="M144" s="935" t="s">
        <v>595</v>
      </c>
      <c r="N144" s="34"/>
      <c r="O144" s="34"/>
      <c r="P144" s="34"/>
      <c r="Q144" s="34"/>
      <c r="R144" s="34"/>
      <c r="S144" s="34"/>
      <c r="T144" s="34"/>
      <c r="U144" s="34"/>
      <c r="V144" s="34"/>
      <c r="W144" s="34"/>
      <c r="X144" s="34"/>
      <c r="Y144" s="34"/>
      <c r="Z144" s="34"/>
    </row>
    <row r="145" spans="1:26">
      <c r="A145" s="34"/>
      <c r="B145" s="34"/>
      <c r="C145" s="34"/>
      <c r="D145" s="34"/>
      <c r="E145" s="34"/>
      <c r="F145" s="34"/>
      <c r="G145" s="932"/>
      <c r="H145" s="932"/>
      <c r="I145" s="286" t="e">
        <f>'15b-Charts Comp'!M462</f>
        <v>#REF!</v>
      </c>
      <c r="J145" s="286">
        <f>J136/$H$136</f>
        <v>0.39760239760239763</v>
      </c>
      <c r="K145" s="286">
        <f>K136/$H$136</f>
        <v>0.60239760239760243</v>
      </c>
      <c r="L145" s="286">
        <f>L136/$H$136</f>
        <v>0.5641025641025641</v>
      </c>
      <c r="M145" s="286">
        <f>M136/$H$136</f>
        <v>3.8295038295038296E-2</v>
      </c>
      <c r="N145" s="34"/>
      <c r="O145" s="34"/>
      <c r="P145" s="34"/>
      <c r="Q145" s="34"/>
      <c r="R145" s="34"/>
      <c r="S145" s="34"/>
      <c r="T145" s="34"/>
      <c r="U145" s="34"/>
      <c r="V145" s="34"/>
      <c r="W145" s="34"/>
      <c r="X145" s="34"/>
      <c r="Y145" s="34"/>
      <c r="Z145" s="34"/>
    </row>
    <row r="146" spans="1:26">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1:26">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1:26">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1:26">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1:26">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1:26">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1:26">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1:26">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1:26">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1:26">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1:26">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1:26">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1:26">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1:26">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1:26">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1:26">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1:26">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1:26">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1:26">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1:26">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1:26">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1:26">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1:26">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1:26">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1:26">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1:26">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1:26">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1:26">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1:26">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sheetData>
  <mergeCells count="2">
    <mergeCell ref="I1:K1"/>
    <mergeCell ref="A1:D1"/>
  </mergeCells>
  <pageMargins left="0.70866141732283472" right="0.70866141732283472" top="0.74803149606299213" bottom="0.74803149606299213" header="0.31496062992125984" footer="0.31496062992125984"/>
  <pageSetup paperSize="9" scale="45" orientation="portrait" horizontalDpi="0" verticalDpi="0" r:id="rId1"/>
  <headerFooter>
    <oddHeader>&amp;L&amp;8&amp;D&amp;C&amp;8DRAFT&amp;R&amp;8&amp;A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99"/>
  </sheetPr>
  <dimension ref="A1:AB60"/>
  <sheetViews>
    <sheetView workbookViewId="0">
      <selection sqref="A1:D1"/>
    </sheetView>
  </sheetViews>
  <sheetFormatPr defaultRowHeight="12.75"/>
  <cols>
    <col min="1" max="1" width="3.28515625" customWidth="1"/>
    <col min="2" max="2" width="11.85546875" customWidth="1"/>
    <col min="7" max="7" width="9"/>
  </cols>
  <sheetData>
    <row r="1" spans="1:28" ht="99" customHeight="1" thickBot="1">
      <c r="A1" s="1626" t="s">
        <v>193</v>
      </c>
      <c r="B1" s="1627"/>
      <c r="C1" s="1627"/>
      <c r="D1" s="1627"/>
      <c r="E1" s="858" t="e">
        <f>#REF!</f>
        <v>#REF!</v>
      </c>
      <c r="F1" s="1618" t="e">
        <f>#REF!</f>
        <v>#REF!</v>
      </c>
      <c r="G1" s="1618"/>
      <c r="H1" s="1619">
        <f ca="1">NOW()</f>
        <v>44595.448909606479</v>
      </c>
      <c r="I1" s="1619"/>
      <c r="J1" s="1619"/>
      <c r="K1" s="861"/>
      <c r="L1" s="861"/>
      <c r="M1" s="862"/>
      <c r="N1" s="751"/>
      <c r="O1" s="751"/>
      <c r="P1" s="684"/>
      <c r="Q1" s="684"/>
      <c r="R1" s="684"/>
      <c r="S1" s="684"/>
      <c r="T1" s="684"/>
      <c r="U1" s="684"/>
      <c r="V1" s="684"/>
      <c r="W1" s="684"/>
      <c r="X1" s="684"/>
      <c r="Y1" s="751"/>
      <c r="Z1" s="751"/>
      <c r="AA1" s="751" t="e">
        <f>#REF!</f>
        <v>#REF!</v>
      </c>
      <c r="AB1" s="684"/>
    </row>
    <row r="2" spans="1:28">
      <c r="A2" s="896" t="s">
        <v>129</v>
      </c>
      <c r="B2" s="232"/>
      <c r="C2" s="481"/>
      <c r="D2" s="481"/>
      <c r="E2" s="623"/>
      <c r="F2" s="34">
        <v>0</v>
      </c>
      <c r="G2" s="34">
        <f>F2+1</f>
        <v>1</v>
      </c>
      <c r="H2" s="34">
        <f t="shared" ref="H2:W3" si="0">G2+1</f>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row>
    <row r="3" spans="1:28">
      <c r="A3" s="34"/>
      <c r="B3" s="34"/>
      <c r="C3" s="34"/>
      <c r="D3" s="34"/>
      <c r="E3" s="46" t="s">
        <v>44</v>
      </c>
      <c r="F3" s="740">
        <v>1999</v>
      </c>
      <c r="G3" s="740">
        <f t="shared" ref="G3:M3" si="2">F3+1</f>
        <v>2000</v>
      </c>
      <c r="H3" s="740">
        <f t="shared" si="2"/>
        <v>2001</v>
      </c>
      <c r="I3" s="740">
        <f t="shared" si="2"/>
        <v>2002</v>
      </c>
      <c r="J3" s="740">
        <f t="shared" si="2"/>
        <v>2003</v>
      </c>
      <c r="K3" s="740">
        <f t="shared" si="2"/>
        <v>2004</v>
      </c>
      <c r="L3" s="740">
        <f t="shared" si="2"/>
        <v>2005</v>
      </c>
      <c r="M3" s="740">
        <f t="shared" si="2"/>
        <v>2006</v>
      </c>
      <c r="N3" s="740">
        <v>2007</v>
      </c>
      <c r="O3" s="740">
        <f>N3+1</f>
        <v>2008</v>
      </c>
      <c r="P3" s="740">
        <f t="shared" si="0"/>
        <v>2009</v>
      </c>
      <c r="Q3" s="740">
        <f t="shared" si="0"/>
        <v>2010</v>
      </c>
      <c r="R3" s="740">
        <f t="shared" si="0"/>
        <v>2011</v>
      </c>
      <c r="S3" s="740">
        <f t="shared" si="0"/>
        <v>2012</v>
      </c>
      <c r="T3" s="740">
        <f t="shared" si="0"/>
        <v>2013</v>
      </c>
      <c r="U3" s="740">
        <f t="shared" si="0"/>
        <v>2014</v>
      </c>
      <c r="V3" s="740">
        <f t="shared" si="0"/>
        <v>2015</v>
      </c>
      <c r="W3" s="740">
        <f t="shared" si="0"/>
        <v>2016</v>
      </c>
      <c r="X3" s="740">
        <f t="shared" si="1"/>
        <v>2017</v>
      </c>
      <c r="Y3" s="740">
        <f t="shared" si="1"/>
        <v>2018</v>
      </c>
      <c r="Z3" s="740">
        <f t="shared" si="1"/>
        <v>2019</v>
      </c>
      <c r="AA3" s="740">
        <f t="shared" si="1"/>
        <v>2020</v>
      </c>
    </row>
    <row r="4" spans="1:28">
      <c r="A4" s="613" t="s">
        <v>918</v>
      </c>
      <c r="B4" s="34"/>
      <c r="C4" s="34"/>
      <c r="D4" s="34"/>
      <c r="E4" s="34"/>
      <c r="F4" s="34"/>
      <c r="G4" s="34"/>
      <c r="H4" s="34"/>
      <c r="I4" s="34"/>
      <c r="J4" s="34"/>
      <c r="K4" s="34"/>
      <c r="L4" s="34"/>
      <c r="M4" s="34"/>
      <c r="N4" s="34"/>
      <c r="O4" s="34"/>
      <c r="P4" s="34"/>
      <c r="Q4" s="34"/>
      <c r="R4" s="34"/>
      <c r="S4" s="34"/>
      <c r="T4" s="34"/>
      <c r="U4" s="34"/>
      <c r="V4" s="34"/>
      <c r="W4" s="34"/>
      <c r="X4" s="34"/>
      <c r="Y4" s="34"/>
    </row>
    <row r="5" spans="1:28">
      <c r="A5" s="613"/>
      <c r="B5" s="34"/>
      <c r="C5" s="34"/>
      <c r="D5" s="34"/>
      <c r="E5" s="34"/>
      <c r="F5" s="34"/>
      <c r="G5" s="34"/>
      <c r="H5" s="34"/>
      <c r="I5" s="34"/>
      <c r="J5" s="34"/>
      <c r="K5" s="34"/>
      <c r="L5" s="34"/>
      <c r="M5" s="34"/>
      <c r="N5" s="34"/>
      <c r="O5" s="34"/>
      <c r="P5" s="34"/>
      <c r="Q5" s="34"/>
      <c r="R5" s="34"/>
      <c r="S5" s="34"/>
      <c r="T5" s="34"/>
      <c r="U5" s="34"/>
      <c r="V5" s="34"/>
      <c r="W5" s="34"/>
      <c r="X5" s="34"/>
      <c r="Y5" s="34"/>
    </row>
    <row r="6" spans="1:28">
      <c r="A6" s="613"/>
      <c r="B6" s="34"/>
      <c r="C6" s="34"/>
      <c r="D6" s="34"/>
      <c r="E6" s="34"/>
      <c r="F6" s="34"/>
      <c r="G6" s="34"/>
      <c r="H6" s="34"/>
      <c r="I6" s="34"/>
      <c r="J6" s="34"/>
      <c r="K6" s="34"/>
      <c r="L6" s="34"/>
      <c r="M6" s="34"/>
      <c r="N6" s="34"/>
      <c r="O6" s="34"/>
      <c r="P6" s="34"/>
      <c r="Q6" s="34"/>
      <c r="R6" s="34"/>
      <c r="S6" s="34"/>
      <c r="T6" s="34"/>
      <c r="U6" s="34"/>
      <c r="V6" s="34"/>
      <c r="W6" s="34"/>
      <c r="X6" s="34"/>
      <c r="Y6" s="34"/>
    </row>
    <row r="7" spans="1:28" ht="13.5">
      <c r="A7" s="305"/>
      <c r="B7" s="305"/>
      <c r="C7" s="309" t="s">
        <v>919</v>
      </c>
      <c r="D7" s="305"/>
      <c r="E7" s="34"/>
      <c r="F7" s="305"/>
      <c r="G7" s="305"/>
      <c r="H7" s="305"/>
      <c r="I7" s="305"/>
      <c r="J7" s="305"/>
      <c r="K7" s="305"/>
      <c r="L7" s="34"/>
      <c r="M7" s="34">
        <v>1</v>
      </c>
      <c r="N7" s="34"/>
      <c r="O7" s="34"/>
      <c r="P7" s="34"/>
      <c r="Q7" s="34"/>
      <c r="R7" s="34"/>
      <c r="S7" s="34"/>
      <c r="T7" s="34"/>
      <c r="U7" s="34"/>
      <c r="V7" s="34"/>
      <c r="W7" s="34"/>
      <c r="X7" s="34"/>
      <c r="Y7" s="34"/>
    </row>
    <row r="8" spans="1:28" ht="13.5">
      <c r="A8" s="936">
        <v>11</v>
      </c>
      <c r="B8" s="305" t="s">
        <v>920</v>
      </c>
      <c r="C8" s="305" t="s">
        <v>667</v>
      </c>
      <c r="D8" s="305"/>
      <c r="E8" s="305" t="s">
        <v>894</v>
      </c>
      <c r="F8" s="305" t="s">
        <v>895</v>
      </c>
      <c r="G8" s="305"/>
      <c r="H8" s="305"/>
      <c r="I8" s="34"/>
      <c r="J8" s="34"/>
      <c r="K8" s="305"/>
      <c r="L8" s="34"/>
      <c r="M8" s="34">
        <f>M7+1</f>
        <v>2</v>
      </c>
      <c r="N8" s="34"/>
      <c r="O8" s="34"/>
      <c r="P8" s="34"/>
      <c r="Q8" s="34"/>
      <c r="R8" s="34"/>
      <c r="S8" s="34"/>
      <c r="T8" s="34"/>
      <c r="U8" s="34"/>
      <c r="V8" s="34"/>
      <c r="W8" s="34"/>
      <c r="X8" s="34"/>
      <c r="Y8" s="34"/>
    </row>
    <row r="9" spans="1:28" ht="13.5">
      <c r="A9" s="936">
        <v>11</v>
      </c>
      <c r="B9" s="305" t="s">
        <v>920</v>
      </c>
      <c r="C9" s="305" t="s">
        <v>666</v>
      </c>
      <c r="D9" s="305"/>
      <c r="E9" s="305" t="s">
        <v>898</v>
      </c>
      <c r="F9" s="296"/>
      <c r="G9" s="305"/>
      <c r="H9" s="305"/>
      <c r="I9" s="34"/>
      <c r="J9" s="34"/>
      <c r="K9" s="305"/>
      <c r="L9" s="34"/>
      <c r="M9" s="34">
        <f>M8+1</f>
        <v>3</v>
      </c>
      <c r="N9" s="34"/>
      <c r="O9" s="34"/>
      <c r="P9" s="34"/>
      <c r="Q9" s="34"/>
      <c r="R9" s="34"/>
      <c r="S9" s="34"/>
      <c r="T9" s="34"/>
      <c r="U9" s="34"/>
      <c r="V9" s="34"/>
      <c r="W9" s="34"/>
      <c r="X9" s="34"/>
      <c r="Y9" s="34"/>
    </row>
    <row r="10" spans="1:28" ht="13.5">
      <c r="A10" s="936"/>
      <c r="B10" s="305"/>
      <c r="C10" s="309" t="s">
        <v>921</v>
      </c>
      <c r="D10" s="305"/>
      <c r="E10" s="305"/>
      <c r="F10" s="305"/>
      <c r="G10" s="305"/>
      <c r="H10" s="305"/>
      <c r="I10" s="34"/>
      <c r="J10" s="34"/>
      <c r="K10" s="305"/>
      <c r="L10" s="34"/>
      <c r="M10" s="34"/>
      <c r="N10" s="34"/>
      <c r="O10" s="34"/>
      <c r="P10" s="34"/>
      <c r="Q10" s="34"/>
      <c r="R10" s="34"/>
      <c r="S10" s="34"/>
      <c r="T10" s="34"/>
      <c r="U10" s="34"/>
      <c r="V10" s="34"/>
      <c r="W10" s="34"/>
      <c r="X10" s="34"/>
      <c r="Y10" s="34"/>
    </row>
    <row r="11" spans="1:28" ht="13.5">
      <c r="A11" s="305">
        <v>10</v>
      </c>
      <c r="B11" s="305" t="s">
        <v>920</v>
      </c>
      <c r="C11" s="305" t="s">
        <v>630</v>
      </c>
      <c r="D11" s="34"/>
      <c r="E11" s="34"/>
      <c r="F11" s="937"/>
      <c r="G11" s="937"/>
      <c r="H11" s="305"/>
      <c r="I11" s="305"/>
      <c r="J11" s="305"/>
      <c r="K11" s="305"/>
      <c r="L11" s="34"/>
      <c r="M11" s="34">
        <f>M9+1</f>
        <v>4</v>
      </c>
      <c r="N11" s="34"/>
      <c r="O11" s="34"/>
      <c r="P11" s="34"/>
      <c r="Q11" s="34"/>
      <c r="R11" s="34"/>
      <c r="S11" s="34"/>
      <c r="T11" s="34"/>
      <c r="U11" s="34"/>
      <c r="V11" s="34"/>
      <c r="W11" s="34"/>
      <c r="X11" s="34"/>
      <c r="Y11" s="34"/>
    </row>
    <row r="12" spans="1:28" ht="13.5">
      <c r="A12" s="305">
        <v>10</v>
      </c>
      <c r="B12" s="305" t="s">
        <v>920</v>
      </c>
      <c r="C12" s="305" t="s">
        <v>629</v>
      </c>
      <c r="D12" s="34"/>
      <c r="E12" s="34"/>
      <c r="F12" s="34"/>
      <c r="G12" s="34"/>
      <c r="H12" s="305"/>
      <c r="I12" s="305"/>
      <c r="J12" s="305"/>
      <c r="K12" s="305"/>
      <c r="L12" s="34"/>
      <c r="M12" s="34">
        <f t="shared" ref="M12:M21" si="3">M11+1</f>
        <v>5</v>
      </c>
      <c r="N12" s="34"/>
      <c r="O12" s="34"/>
      <c r="P12" s="34"/>
      <c r="Q12" s="34"/>
      <c r="R12" s="34"/>
      <c r="S12" s="34"/>
      <c r="T12" s="34"/>
      <c r="U12" s="34"/>
      <c r="V12" s="34"/>
      <c r="W12" s="34"/>
      <c r="X12" s="34"/>
      <c r="Y12" s="34"/>
    </row>
    <row r="13" spans="1:28" ht="13.5">
      <c r="A13" s="305"/>
      <c r="B13" s="34"/>
      <c r="C13" s="34"/>
      <c r="D13" s="34"/>
      <c r="E13" s="34"/>
      <c r="F13" s="305"/>
      <c r="G13" s="305"/>
      <c r="H13" s="305"/>
      <c r="I13" s="305"/>
      <c r="J13" s="305"/>
      <c r="K13" s="305"/>
      <c r="L13" s="34"/>
      <c r="M13" s="34">
        <f t="shared" si="3"/>
        <v>6</v>
      </c>
      <c r="N13" s="34"/>
      <c r="O13" s="34"/>
      <c r="P13" s="34"/>
      <c r="Q13" s="34"/>
      <c r="R13" s="34"/>
      <c r="S13" s="34"/>
      <c r="T13" s="34"/>
      <c r="U13" s="34"/>
      <c r="V13" s="34"/>
      <c r="W13" s="34"/>
      <c r="X13" s="34"/>
      <c r="Y13" s="34"/>
    </row>
    <row r="14" spans="1:28" ht="13.5">
      <c r="A14" s="305"/>
      <c r="B14" s="34"/>
      <c r="C14" s="34"/>
      <c r="D14" s="34"/>
      <c r="E14" s="34"/>
      <c r="F14" s="305"/>
      <c r="G14" s="305"/>
      <c r="H14" s="305"/>
      <c r="I14" s="305"/>
      <c r="J14" s="305"/>
      <c r="K14" s="305"/>
      <c r="L14" s="34"/>
      <c r="M14" s="34">
        <f t="shared" si="3"/>
        <v>7</v>
      </c>
      <c r="N14" s="34"/>
      <c r="O14" s="34"/>
      <c r="P14" s="34"/>
      <c r="Q14" s="34"/>
      <c r="R14" s="34"/>
      <c r="S14" s="34"/>
      <c r="T14" s="34"/>
      <c r="U14" s="34"/>
      <c r="V14" s="34"/>
      <c r="W14" s="34"/>
      <c r="X14" s="34"/>
      <c r="Y14" s="34"/>
    </row>
    <row r="15" spans="1:28" ht="13.5">
      <c r="A15" s="305"/>
      <c r="B15" s="34"/>
      <c r="C15" s="34"/>
      <c r="D15" s="34"/>
      <c r="E15" s="34"/>
      <c r="F15" s="305"/>
      <c r="G15" s="305"/>
      <c r="H15" s="305"/>
      <c r="I15" s="305"/>
      <c r="J15" s="305"/>
      <c r="K15" s="305"/>
      <c r="L15" s="34"/>
      <c r="M15" s="34">
        <f t="shared" si="3"/>
        <v>8</v>
      </c>
      <c r="N15" s="34"/>
      <c r="O15" s="34"/>
      <c r="P15" s="34"/>
      <c r="Q15" s="34"/>
      <c r="R15" s="34"/>
      <c r="S15" s="34"/>
      <c r="T15" s="34"/>
      <c r="U15" s="34"/>
      <c r="V15" s="34"/>
      <c r="W15" s="34"/>
      <c r="X15" s="34"/>
      <c r="Y15" s="34"/>
    </row>
    <row r="16" spans="1:28" ht="13.5">
      <c r="A16" s="309"/>
      <c r="B16" s="43"/>
      <c r="C16" s="309"/>
      <c r="D16" s="43"/>
      <c r="E16" s="43"/>
      <c r="F16" s="43"/>
      <c r="G16" s="43"/>
      <c r="H16" s="43"/>
      <c r="I16" s="43"/>
      <c r="J16" s="43"/>
      <c r="K16" s="43"/>
      <c r="L16" s="43"/>
      <c r="M16" s="34">
        <f t="shared" si="3"/>
        <v>9</v>
      </c>
      <c r="N16" s="34"/>
      <c r="O16" s="34"/>
      <c r="P16" s="34"/>
      <c r="Q16" s="34"/>
      <c r="R16" s="34"/>
      <c r="S16" s="34"/>
      <c r="T16" s="34"/>
      <c r="U16" s="34"/>
      <c r="V16" s="34"/>
      <c r="W16" s="34"/>
      <c r="X16" s="34"/>
      <c r="Y16" s="34"/>
    </row>
    <row r="17" spans="1:25">
      <c r="A17" s="34"/>
      <c r="B17" s="34"/>
      <c r="C17" s="34"/>
      <c r="D17" s="34"/>
      <c r="E17" s="34"/>
      <c r="F17" s="34"/>
      <c r="G17" s="34"/>
      <c r="H17" s="34"/>
      <c r="I17" s="34"/>
      <c r="J17" s="34"/>
      <c r="K17" s="34"/>
      <c r="L17" s="34"/>
      <c r="M17" s="34">
        <f t="shared" si="3"/>
        <v>10</v>
      </c>
      <c r="N17" s="34"/>
      <c r="O17" s="34"/>
      <c r="P17" s="34"/>
      <c r="Q17" s="34"/>
      <c r="R17" s="34"/>
      <c r="S17" s="34"/>
      <c r="T17" s="34"/>
      <c r="U17" s="34"/>
      <c r="V17" s="34"/>
      <c r="W17" s="34"/>
      <c r="X17" s="34"/>
      <c r="Y17" s="34"/>
    </row>
    <row r="18" spans="1:25" ht="13.5">
      <c r="A18" s="34"/>
      <c r="B18" s="936" t="s">
        <v>891</v>
      </c>
      <c r="C18" s="936">
        <v>9</v>
      </c>
      <c r="D18" s="908">
        <v>42774</v>
      </c>
      <c r="E18" s="305"/>
      <c r="F18" s="305" t="s">
        <v>892</v>
      </c>
      <c r="G18" s="305"/>
      <c r="H18" s="305"/>
      <c r="I18" s="34"/>
      <c r="J18" s="34"/>
      <c r="K18" s="34"/>
      <c r="L18" s="34"/>
      <c r="M18" s="34">
        <f t="shared" si="3"/>
        <v>11</v>
      </c>
      <c r="N18" s="34"/>
      <c r="O18" s="34"/>
      <c r="P18" s="34"/>
      <c r="Q18" s="34"/>
      <c r="R18" s="34"/>
      <c r="S18" s="34"/>
      <c r="T18" s="34"/>
      <c r="U18" s="34"/>
      <c r="V18" s="34"/>
      <c r="W18" s="34"/>
      <c r="X18" s="34"/>
      <c r="Y18" s="34"/>
    </row>
    <row r="19" spans="1:25" ht="13.5">
      <c r="A19" s="34"/>
      <c r="B19" s="936" t="s">
        <v>896</v>
      </c>
      <c r="C19" s="936">
        <v>9</v>
      </c>
      <c r="D19" s="908">
        <v>42778</v>
      </c>
      <c r="E19" s="305"/>
      <c r="F19" s="305" t="s">
        <v>673</v>
      </c>
      <c r="G19" s="305"/>
      <c r="H19" s="305"/>
      <c r="I19" s="34"/>
      <c r="J19" s="34"/>
      <c r="K19" s="34"/>
      <c r="L19" s="34"/>
      <c r="M19" s="34">
        <f t="shared" si="3"/>
        <v>12</v>
      </c>
      <c r="N19" s="34"/>
      <c r="O19" s="34"/>
      <c r="P19" s="34"/>
      <c r="Q19" s="34"/>
      <c r="R19" s="34"/>
      <c r="S19" s="34"/>
      <c r="T19" s="34"/>
      <c r="U19" s="34"/>
      <c r="V19" s="34"/>
      <c r="W19" s="34"/>
      <c r="X19" s="34"/>
      <c r="Y19" s="34"/>
    </row>
    <row r="20" spans="1:25" ht="13.5">
      <c r="A20" s="34"/>
      <c r="B20" s="936" t="s">
        <v>899</v>
      </c>
      <c r="C20" s="936">
        <v>9</v>
      </c>
      <c r="D20" s="305" t="s">
        <v>42</v>
      </c>
      <c r="E20" s="305"/>
      <c r="F20" s="305" t="s">
        <v>900</v>
      </c>
      <c r="G20" s="305"/>
      <c r="H20" s="305"/>
      <c r="I20" s="34"/>
      <c r="J20" s="34"/>
      <c r="K20" s="34"/>
      <c r="L20" s="34"/>
      <c r="M20" s="34">
        <f t="shared" si="3"/>
        <v>13</v>
      </c>
      <c r="N20" s="34"/>
      <c r="O20" s="34"/>
      <c r="P20" s="34"/>
      <c r="Q20" s="34"/>
      <c r="R20" s="34"/>
      <c r="S20" s="34"/>
      <c r="T20" s="34"/>
      <c r="U20" s="34"/>
      <c r="V20" s="34"/>
      <c r="W20" s="34"/>
      <c r="X20" s="34"/>
      <c r="Y20" s="34"/>
    </row>
    <row r="21" spans="1:25" ht="13.5">
      <c r="A21" s="34"/>
      <c r="B21" s="936"/>
      <c r="C21" s="936">
        <v>9</v>
      </c>
      <c r="D21" s="911" t="s">
        <v>902</v>
      </c>
      <c r="E21" s="305"/>
      <c r="F21" s="305" t="s">
        <v>903</v>
      </c>
      <c r="G21" s="305"/>
      <c r="H21" s="305"/>
      <c r="I21" s="34"/>
      <c r="J21" s="34"/>
      <c r="K21" s="34"/>
      <c r="L21" s="34"/>
      <c r="M21" s="34">
        <f t="shared" si="3"/>
        <v>14</v>
      </c>
      <c r="N21" s="34"/>
      <c r="O21" s="34"/>
      <c r="P21" s="34"/>
      <c r="Q21" s="34"/>
      <c r="R21" s="34"/>
      <c r="S21" s="34"/>
      <c r="T21" s="34"/>
      <c r="U21" s="34"/>
      <c r="V21" s="34"/>
      <c r="W21" s="34"/>
      <c r="X21" s="34"/>
      <c r="Y21" s="34"/>
    </row>
    <row r="22" spans="1:25" ht="13.5">
      <c r="A22" s="34"/>
      <c r="B22" s="936"/>
      <c r="C22" s="936">
        <v>9</v>
      </c>
      <c r="D22" s="305" t="s">
        <v>904</v>
      </c>
      <c r="E22" s="305"/>
      <c r="F22" s="305" t="s">
        <v>905</v>
      </c>
      <c r="G22" s="305"/>
      <c r="H22" s="305"/>
      <c r="I22" s="34"/>
      <c r="J22" s="34"/>
      <c r="K22" s="34"/>
      <c r="L22" s="34"/>
      <c r="M22" s="34"/>
      <c r="N22" s="34"/>
      <c r="O22" s="34"/>
      <c r="P22" s="34"/>
      <c r="Q22" s="34"/>
      <c r="R22" s="34"/>
      <c r="S22" s="34"/>
      <c r="T22" s="34"/>
      <c r="U22" s="34"/>
      <c r="V22" s="34"/>
      <c r="W22" s="34"/>
      <c r="X22" s="34"/>
      <c r="Y22" s="34"/>
    </row>
    <row r="23" spans="1:25" ht="13.5">
      <c r="A23" s="34"/>
      <c r="B23" s="936"/>
      <c r="C23" s="936">
        <v>9</v>
      </c>
      <c r="D23" s="305" t="s">
        <v>906</v>
      </c>
      <c r="E23" s="305"/>
      <c r="F23" s="305" t="s">
        <v>796</v>
      </c>
      <c r="G23" s="305"/>
      <c r="H23" s="305"/>
      <c r="I23" s="34" t="s">
        <v>336</v>
      </c>
      <c r="J23" s="34"/>
      <c r="K23" s="34"/>
      <c r="L23" s="34"/>
      <c r="M23" s="34"/>
      <c r="N23" s="34"/>
      <c r="O23" s="34"/>
      <c r="P23" s="34"/>
      <c r="Q23" s="34"/>
      <c r="R23" s="34"/>
      <c r="S23" s="34"/>
      <c r="T23" s="34"/>
      <c r="U23" s="34"/>
      <c r="V23" s="34"/>
      <c r="W23" s="34"/>
      <c r="X23" s="34"/>
      <c r="Y23" s="34"/>
    </row>
    <row r="24" spans="1:25" ht="13.5">
      <c r="A24" s="34"/>
      <c r="B24" s="936"/>
      <c r="C24" s="936"/>
      <c r="D24" s="492">
        <v>42790</v>
      </c>
      <c r="E24" s="305"/>
      <c r="F24" s="305" t="s">
        <v>907</v>
      </c>
      <c r="G24" s="305"/>
      <c r="H24" s="305"/>
      <c r="I24" s="34"/>
      <c r="J24" s="34"/>
      <c r="K24" s="34"/>
      <c r="L24" s="34"/>
      <c r="M24" s="34"/>
      <c r="N24" s="34"/>
      <c r="O24" s="34"/>
      <c r="P24" s="34"/>
      <c r="Q24" s="34"/>
      <c r="R24" s="34"/>
      <c r="S24" s="34"/>
      <c r="T24" s="34"/>
      <c r="U24" s="34"/>
      <c r="V24" s="34"/>
      <c r="W24" s="34"/>
      <c r="X24" s="34"/>
      <c r="Y24" s="34"/>
    </row>
    <row r="25" spans="1:25" ht="13.5">
      <c r="A25" s="34"/>
      <c r="B25" s="43"/>
      <c r="C25" s="43"/>
      <c r="D25" s="43"/>
      <c r="E25" s="43"/>
      <c r="F25" s="913" t="s">
        <v>534</v>
      </c>
      <c r="G25" s="913"/>
      <c r="H25" s="309"/>
      <c r="I25" s="43"/>
      <c r="J25" s="43"/>
      <c r="K25" s="43"/>
      <c r="L25" s="43"/>
      <c r="M25" s="34"/>
      <c r="N25" s="34"/>
      <c r="O25" s="34"/>
      <c r="P25" s="34"/>
      <c r="Q25" s="34"/>
      <c r="R25" s="34"/>
      <c r="S25" s="34"/>
      <c r="T25" s="34"/>
      <c r="U25" s="34"/>
      <c r="V25" s="34"/>
      <c r="W25" s="34"/>
      <c r="X25" s="34"/>
      <c r="Y25" s="34"/>
    </row>
    <row r="26" spans="1:25">
      <c r="A26" s="34"/>
      <c r="B26" s="34"/>
      <c r="C26" s="34"/>
      <c r="D26" s="34"/>
      <c r="E26" s="34"/>
      <c r="F26" s="34"/>
      <c r="G26" s="34"/>
      <c r="H26" s="34"/>
      <c r="I26" s="34"/>
      <c r="J26" s="34"/>
      <c r="K26" s="34"/>
      <c r="L26" s="34"/>
      <c r="M26" s="34"/>
      <c r="N26" s="34"/>
      <c r="O26" s="34"/>
      <c r="P26" s="34"/>
      <c r="Q26" s="34"/>
      <c r="R26" s="34"/>
      <c r="S26" s="34"/>
      <c r="T26" s="34"/>
      <c r="U26" s="34"/>
      <c r="V26" s="34"/>
      <c r="W26" s="34"/>
      <c r="X26" s="34"/>
      <c r="Y26" s="34"/>
    </row>
    <row r="27" spans="1:25">
      <c r="A27" s="34"/>
      <c r="B27" s="34"/>
      <c r="C27" s="34"/>
      <c r="D27" s="34"/>
      <c r="E27" s="34"/>
      <c r="F27" s="34"/>
      <c r="G27" s="34"/>
      <c r="H27" s="34"/>
      <c r="I27" s="34"/>
      <c r="J27" s="34"/>
      <c r="K27" s="34"/>
      <c r="L27" s="34"/>
      <c r="M27" s="34"/>
      <c r="N27" s="34"/>
      <c r="O27" s="34"/>
      <c r="P27" s="34"/>
      <c r="Q27" s="34"/>
      <c r="R27" s="34"/>
      <c r="S27" s="34"/>
      <c r="T27" s="34"/>
      <c r="U27" s="34"/>
      <c r="V27" s="34"/>
      <c r="W27" s="34"/>
      <c r="X27" s="34"/>
      <c r="Y27" s="34"/>
    </row>
    <row r="28" spans="1:25">
      <c r="A28" s="34"/>
      <c r="B28" s="34"/>
      <c r="C28" s="34"/>
      <c r="D28" s="34"/>
      <c r="E28" s="34"/>
      <c r="F28" s="34"/>
      <c r="G28" s="34"/>
      <c r="H28" s="34"/>
      <c r="I28" s="34"/>
      <c r="J28" s="34"/>
      <c r="K28" s="34"/>
      <c r="L28" s="34"/>
      <c r="M28" s="34"/>
      <c r="N28" s="34"/>
      <c r="O28" s="34"/>
      <c r="P28" s="34"/>
      <c r="Q28" s="34"/>
      <c r="R28" s="34"/>
      <c r="S28" s="34"/>
      <c r="T28" s="34"/>
      <c r="U28" s="34"/>
      <c r="V28" s="34"/>
      <c r="W28" s="34"/>
      <c r="X28" s="34"/>
      <c r="Y28" s="34"/>
    </row>
    <row r="29" spans="1:25">
      <c r="A29" s="34"/>
      <c r="B29" s="34"/>
      <c r="C29" s="34"/>
      <c r="D29" s="34"/>
      <c r="E29" s="34"/>
      <c r="F29" s="34"/>
      <c r="G29" s="34"/>
      <c r="H29" s="34"/>
      <c r="I29" s="34"/>
      <c r="J29" s="34"/>
      <c r="K29" s="34"/>
      <c r="L29" s="34"/>
      <c r="M29" s="34"/>
      <c r="N29" s="34"/>
      <c r="O29" s="34"/>
      <c r="P29" s="34"/>
      <c r="Q29" s="34"/>
      <c r="R29" s="34"/>
      <c r="S29" s="34"/>
      <c r="T29" s="34"/>
      <c r="U29" s="34"/>
      <c r="V29" s="34"/>
      <c r="W29" s="34"/>
      <c r="X29" s="34"/>
      <c r="Y29" s="34"/>
    </row>
    <row r="30" spans="1:25">
      <c r="A30" s="34"/>
      <c r="B30" s="34"/>
      <c r="C30" s="34"/>
      <c r="D30" s="34"/>
      <c r="E30" s="34"/>
      <c r="F30" s="34"/>
      <c r="G30" s="34"/>
      <c r="H30" s="34"/>
      <c r="I30" s="34" t="s">
        <v>922</v>
      </c>
      <c r="J30" s="34"/>
      <c r="K30" s="34"/>
      <c r="L30" s="34"/>
      <c r="M30" s="34"/>
      <c r="N30" s="938"/>
      <c r="O30" s="34" t="s">
        <v>923</v>
      </c>
      <c r="P30" s="34"/>
      <c r="Q30" s="34"/>
      <c r="R30" s="34"/>
      <c r="S30" s="34"/>
      <c r="T30" s="34"/>
      <c r="U30" s="34"/>
      <c r="V30" s="34"/>
      <c r="W30" s="34"/>
      <c r="X30" s="34"/>
      <c r="Y30" s="34"/>
    </row>
    <row r="31" spans="1:25">
      <c r="A31" s="34"/>
      <c r="B31" s="34"/>
      <c r="C31" s="34"/>
      <c r="D31" s="34"/>
      <c r="E31" s="34"/>
      <c r="F31" s="34"/>
      <c r="G31" s="34"/>
      <c r="H31" s="34"/>
      <c r="I31" s="34"/>
      <c r="J31" s="34"/>
      <c r="K31" s="34"/>
      <c r="L31" s="34"/>
      <c r="M31" s="34"/>
      <c r="N31" s="34"/>
      <c r="O31" s="34"/>
      <c r="P31" s="34"/>
      <c r="Q31" s="34"/>
      <c r="R31" s="34"/>
      <c r="S31" s="34"/>
      <c r="T31" s="34"/>
      <c r="U31" s="34"/>
      <c r="V31" s="34"/>
      <c r="W31" s="34"/>
      <c r="X31" s="34"/>
      <c r="Y31" s="34"/>
    </row>
    <row r="32" spans="1:25">
      <c r="A32" s="34"/>
      <c r="B32" s="34"/>
      <c r="C32" s="34"/>
      <c r="D32" s="34"/>
      <c r="E32" s="34"/>
      <c r="F32" s="34"/>
      <c r="G32" s="34"/>
      <c r="H32" s="34"/>
      <c r="I32" s="34"/>
      <c r="J32" s="34"/>
      <c r="K32" s="34"/>
      <c r="L32" s="34"/>
      <c r="M32" s="34"/>
      <c r="N32" s="34"/>
      <c r="O32" s="34"/>
      <c r="P32" s="34"/>
      <c r="Q32" s="34"/>
      <c r="R32" s="34"/>
      <c r="S32" s="34"/>
      <c r="T32" s="34"/>
      <c r="U32" s="34"/>
      <c r="V32" s="34"/>
      <c r="W32" s="34"/>
      <c r="X32" s="34"/>
      <c r="Y32" s="34"/>
    </row>
    <row r="33" spans="1:25">
      <c r="A33" s="34"/>
      <c r="B33" s="34"/>
      <c r="C33" s="34"/>
      <c r="D33" s="34"/>
      <c r="E33" s="34"/>
      <c r="F33" s="34"/>
      <c r="G33" s="34"/>
      <c r="H33" s="34"/>
      <c r="I33" s="34"/>
      <c r="J33" s="34"/>
      <c r="K33" s="34"/>
      <c r="L33" s="34"/>
      <c r="M33" s="34"/>
      <c r="N33" s="34"/>
      <c r="O33" s="34"/>
      <c r="P33" s="34"/>
      <c r="Q33" s="34"/>
      <c r="R33" s="34"/>
      <c r="S33" s="34"/>
      <c r="T33" s="34"/>
      <c r="U33" s="34"/>
      <c r="V33" s="34"/>
      <c r="W33" s="34"/>
      <c r="X33" s="34"/>
      <c r="Y33" s="34"/>
    </row>
    <row r="34" spans="1:25">
      <c r="A34" s="34"/>
      <c r="B34" s="34"/>
      <c r="C34" s="34"/>
      <c r="D34" s="34"/>
      <c r="E34" s="34"/>
      <c r="F34" s="34"/>
      <c r="G34" s="34"/>
      <c r="H34" s="34"/>
      <c r="I34" s="34"/>
      <c r="J34" s="34"/>
      <c r="K34" s="34"/>
      <c r="L34" s="34"/>
      <c r="M34" s="34"/>
      <c r="N34" s="34"/>
      <c r="O34" s="34"/>
      <c r="P34" s="34"/>
      <c r="Q34" s="34"/>
      <c r="R34" s="34"/>
      <c r="S34" s="34"/>
      <c r="T34" s="34"/>
      <c r="U34" s="34"/>
      <c r="V34" s="34"/>
      <c r="W34" s="34"/>
      <c r="X34" s="34"/>
      <c r="Y34" s="34"/>
    </row>
    <row r="35" spans="1:25">
      <c r="A35" s="34"/>
      <c r="B35" s="34"/>
      <c r="C35" s="34"/>
      <c r="D35" s="34"/>
      <c r="E35" s="34"/>
      <c r="F35" s="34"/>
      <c r="G35" s="34"/>
      <c r="H35" s="34"/>
      <c r="I35" s="34"/>
      <c r="J35" s="34"/>
      <c r="K35" s="34"/>
      <c r="L35" s="34"/>
      <c r="M35" s="34"/>
      <c r="N35" s="34"/>
      <c r="O35" s="34"/>
      <c r="P35" s="34"/>
      <c r="Q35" s="34"/>
      <c r="R35" s="34"/>
      <c r="S35" s="34"/>
      <c r="T35" s="34"/>
      <c r="U35" s="34"/>
      <c r="V35" s="34"/>
      <c r="W35" s="34"/>
      <c r="X35" s="34"/>
      <c r="Y35" s="34"/>
    </row>
    <row r="36" spans="1:25">
      <c r="A36" s="34"/>
      <c r="B36" s="34"/>
      <c r="C36" s="34"/>
      <c r="D36" s="34"/>
      <c r="E36" s="34"/>
      <c r="F36" s="34"/>
      <c r="G36" s="34"/>
      <c r="H36" s="34"/>
      <c r="I36" s="34"/>
      <c r="J36" s="34"/>
      <c r="K36" s="34"/>
      <c r="L36" s="34"/>
      <c r="M36" s="34"/>
      <c r="N36" s="34"/>
      <c r="O36" s="34"/>
      <c r="P36" s="34"/>
      <c r="Q36" s="34"/>
      <c r="R36" s="34"/>
      <c r="S36" s="34"/>
      <c r="T36" s="34"/>
      <c r="U36" s="34"/>
      <c r="V36" s="34"/>
      <c r="W36" s="34"/>
      <c r="X36" s="34"/>
      <c r="Y36" s="34"/>
    </row>
    <row r="37" spans="1:25">
      <c r="A37" s="34"/>
      <c r="B37" s="939" t="s">
        <v>924</v>
      </c>
      <c r="C37" s="521"/>
      <c r="D37" s="521"/>
      <c r="E37" s="521"/>
      <c r="F37" s="521"/>
      <c r="G37" s="455"/>
      <c r="H37" s="34"/>
      <c r="I37" s="34"/>
      <c r="J37" s="34"/>
      <c r="K37" s="34"/>
      <c r="L37" s="34"/>
      <c r="M37" s="34"/>
      <c r="N37" s="34"/>
      <c r="O37" s="34"/>
      <c r="P37" s="34"/>
      <c r="Q37" s="34"/>
      <c r="R37" s="34"/>
      <c r="S37" s="34"/>
      <c r="T37" s="34"/>
      <c r="U37" s="34"/>
      <c r="V37" s="34"/>
      <c r="W37" s="34"/>
      <c r="X37" s="34"/>
      <c r="Y37" s="34"/>
    </row>
    <row r="38" spans="1:25">
      <c r="A38" s="34"/>
      <c r="B38" s="34"/>
      <c r="C38" s="940" t="s">
        <v>925</v>
      </c>
      <c r="D38" s="940"/>
      <c r="E38" s="940" t="s">
        <v>926</v>
      </c>
      <c r="F38" s="940" t="s">
        <v>420</v>
      </c>
      <c r="G38" s="940"/>
      <c r="H38" s="34"/>
      <c r="I38" s="34"/>
      <c r="J38" s="34"/>
      <c r="K38" s="34"/>
      <c r="L38" s="941">
        <v>12345</v>
      </c>
      <c r="M38" s="34"/>
      <c r="N38" s="34"/>
      <c r="O38" s="34"/>
      <c r="P38" s="34"/>
      <c r="Q38" s="34"/>
      <c r="R38" s="34"/>
      <c r="S38" s="34"/>
      <c r="T38" s="34"/>
      <c r="U38" s="34"/>
      <c r="V38" s="34"/>
      <c r="W38" s="34"/>
      <c r="X38" s="34"/>
      <c r="Y38" s="34"/>
    </row>
    <row r="39" spans="1:25">
      <c r="A39" s="34"/>
      <c r="B39" s="335" t="s">
        <v>927</v>
      </c>
      <c r="C39" s="46" t="s">
        <v>928</v>
      </c>
      <c r="D39" s="46"/>
      <c r="E39" s="34"/>
      <c r="F39" s="34"/>
      <c r="G39" s="34"/>
      <c r="H39" s="34"/>
      <c r="I39" s="34"/>
      <c r="J39" s="34"/>
      <c r="K39" s="34"/>
      <c r="L39" s="34">
        <v>1234</v>
      </c>
      <c r="M39" s="34"/>
      <c r="N39" s="34"/>
      <c r="O39" s="34"/>
      <c r="P39" s="34"/>
      <c r="Q39" s="34"/>
      <c r="R39" s="34"/>
      <c r="S39" s="34"/>
      <c r="T39" s="34"/>
      <c r="U39" s="34"/>
      <c r="V39" s="34"/>
      <c r="W39" s="34"/>
      <c r="X39" s="34"/>
      <c r="Y39" s="34"/>
    </row>
    <row r="40" spans="1:25">
      <c r="A40" s="34"/>
      <c r="B40" s="335"/>
      <c r="C40" s="34"/>
      <c r="D40" s="34"/>
      <c r="E40" s="34"/>
      <c r="F40" s="34"/>
      <c r="G40" s="34"/>
      <c r="H40" s="34"/>
      <c r="I40" s="34"/>
      <c r="J40" s="34"/>
      <c r="K40" s="34"/>
      <c r="L40" s="34"/>
      <c r="M40" s="34"/>
      <c r="N40" s="34"/>
      <c r="O40" s="34"/>
      <c r="P40" s="34"/>
      <c r="Q40" s="34"/>
      <c r="R40" s="34"/>
      <c r="S40" s="34"/>
      <c r="T40" s="34"/>
      <c r="U40" s="34"/>
      <c r="V40" s="34"/>
      <c r="W40" s="34"/>
      <c r="X40" s="34"/>
      <c r="Y40" s="34"/>
    </row>
    <row r="41" spans="1:25">
      <c r="A41" s="34"/>
      <c r="B41" s="335" t="s">
        <v>898</v>
      </c>
      <c r="C41" s="34">
        <v>195</v>
      </c>
      <c r="D41" s="34"/>
      <c r="E41" s="34">
        <v>215</v>
      </c>
      <c r="F41" s="34">
        <v>227</v>
      </c>
      <c r="G41" s="34"/>
      <c r="H41" s="34"/>
      <c r="I41" s="34"/>
      <c r="J41" s="34"/>
      <c r="K41" s="34"/>
      <c r="L41" s="34"/>
      <c r="M41" s="34"/>
      <c r="N41" s="34"/>
      <c r="O41" s="34"/>
      <c r="P41" s="34"/>
      <c r="Q41" s="34"/>
      <c r="R41" s="34"/>
      <c r="S41" s="34"/>
      <c r="T41" s="34"/>
      <c r="U41" s="34"/>
      <c r="V41" s="34"/>
      <c r="W41" s="34"/>
      <c r="X41" s="34"/>
      <c r="Y41" s="34"/>
    </row>
    <row r="42" spans="1:25">
      <c r="A42" s="34"/>
      <c r="B42" s="335" t="s">
        <v>929</v>
      </c>
      <c r="C42" s="34">
        <v>235</v>
      </c>
      <c r="D42" s="34"/>
      <c r="E42" s="34">
        <v>242</v>
      </c>
      <c r="F42" s="34">
        <v>245</v>
      </c>
      <c r="G42" s="34"/>
      <c r="H42" s="34"/>
      <c r="I42" s="34"/>
      <c r="J42" s="34"/>
      <c r="K42" s="34"/>
      <c r="L42" s="34"/>
      <c r="M42" s="34"/>
      <c r="N42" s="34"/>
      <c r="O42" s="34"/>
      <c r="P42" s="34"/>
      <c r="Q42" s="34"/>
      <c r="R42" s="34"/>
      <c r="S42" s="34"/>
      <c r="T42" s="34"/>
      <c r="U42" s="34"/>
      <c r="V42" s="34"/>
      <c r="W42" s="34"/>
      <c r="X42" s="34"/>
      <c r="Y42" s="34"/>
    </row>
    <row r="43" spans="1:25">
      <c r="A43" s="34"/>
      <c r="B43" s="335" t="s">
        <v>930</v>
      </c>
      <c r="C43" s="34">
        <v>35</v>
      </c>
      <c r="D43" s="34"/>
      <c r="E43" s="34">
        <v>38</v>
      </c>
      <c r="F43" s="34">
        <v>42</v>
      </c>
      <c r="G43" s="34"/>
      <c r="H43" s="942"/>
      <c r="I43" s="34"/>
      <c r="J43" s="34"/>
      <c r="K43" s="34"/>
      <c r="L43" s="34"/>
      <c r="M43" s="34"/>
      <c r="N43" s="34"/>
      <c r="O43" s="34"/>
      <c r="P43" s="34"/>
      <c r="Q43" s="34"/>
      <c r="R43" s="34"/>
      <c r="S43" s="34"/>
      <c r="T43" s="34"/>
      <c r="U43" s="34"/>
      <c r="V43" s="34"/>
      <c r="W43" s="34"/>
      <c r="X43" s="34"/>
      <c r="Y43" s="34"/>
    </row>
    <row r="44" spans="1:25">
      <c r="A44" s="34"/>
      <c r="B44" s="335" t="s">
        <v>893</v>
      </c>
      <c r="C44" s="34">
        <v>230</v>
      </c>
      <c r="D44" s="34"/>
      <c r="E44" s="34">
        <v>0</v>
      </c>
      <c r="F44" s="34">
        <v>25</v>
      </c>
      <c r="G44" s="34"/>
      <c r="H44" s="34"/>
      <c r="I44" s="34"/>
      <c r="J44" s="34"/>
      <c r="K44" s="34"/>
      <c r="L44" s="34"/>
      <c r="M44" s="34"/>
      <c r="N44" s="34"/>
      <c r="O44" s="34"/>
      <c r="P44" s="34"/>
      <c r="Q44" s="34"/>
      <c r="R44" s="34"/>
      <c r="S44" s="34"/>
      <c r="T44" s="34"/>
      <c r="U44" s="34"/>
      <c r="V44" s="34"/>
      <c r="W44" s="34"/>
      <c r="X44" s="34"/>
      <c r="Y44" s="34"/>
    </row>
    <row r="45" spans="1:25">
      <c r="A45" s="34"/>
      <c r="B45" s="335" t="s">
        <v>931</v>
      </c>
      <c r="C45" s="34">
        <v>95</v>
      </c>
      <c r="D45" s="34"/>
      <c r="E45" s="34">
        <v>198</v>
      </c>
      <c r="F45" s="34">
        <v>245</v>
      </c>
      <c r="G45" s="34"/>
      <c r="H45" s="943"/>
      <c r="I45" s="34"/>
      <c r="J45" s="34"/>
      <c r="K45" s="34"/>
      <c r="L45" s="34"/>
      <c r="M45" s="34"/>
      <c r="N45" s="34"/>
      <c r="O45" s="34"/>
      <c r="P45" s="34"/>
      <c r="Q45" s="34"/>
      <c r="R45" s="34"/>
      <c r="S45" s="34"/>
      <c r="T45" s="34"/>
      <c r="U45" s="34"/>
      <c r="V45" s="34"/>
      <c r="W45" s="34"/>
      <c r="X45" s="34"/>
      <c r="Y45" s="34"/>
    </row>
    <row r="46" spans="1:25">
      <c r="A46" s="34"/>
      <c r="B46" s="335" t="s">
        <v>932</v>
      </c>
      <c r="C46" s="34">
        <v>18</v>
      </c>
      <c r="D46" s="34"/>
      <c r="E46" s="34">
        <v>147</v>
      </c>
      <c r="F46" s="34">
        <v>212</v>
      </c>
      <c r="G46" s="34"/>
      <c r="H46" s="944"/>
      <c r="I46" s="34"/>
      <c r="J46" s="34"/>
      <c r="K46" s="34"/>
      <c r="L46" s="34"/>
      <c r="M46" s="34"/>
      <c r="N46" s="34"/>
      <c r="O46" s="34"/>
      <c r="P46" s="34"/>
      <c r="Q46" s="34"/>
      <c r="R46" s="34"/>
      <c r="S46" s="34"/>
      <c r="T46" s="34"/>
      <c r="U46" s="34"/>
      <c r="V46" s="34"/>
      <c r="W46" s="34"/>
      <c r="X46" s="34"/>
      <c r="Y46" s="34"/>
    </row>
    <row r="47" spans="1:25">
      <c r="A47" s="34"/>
      <c r="B47" s="340" t="s">
        <v>933</v>
      </c>
      <c r="C47" s="43">
        <v>8</v>
      </c>
      <c r="D47" s="43"/>
      <c r="E47" s="43">
        <v>63</v>
      </c>
      <c r="F47" s="43">
        <v>90</v>
      </c>
      <c r="G47" s="34"/>
      <c r="H47" s="945"/>
      <c r="I47" s="34"/>
      <c r="J47" s="34"/>
      <c r="K47" s="34"/>
      <c r="L47" s="34"/>
      <c r="M47" s="34"/>
      <c r="N47" s="34"/>
      <c r="O47" s="34"/>
      <c r="P47" s="34"/>
      <c r="Q47" s="34"/>
      <c r="R47" s="34"/>
      <c r="S47" s="34"/>
      <c r="T47" s="34"/>
      <c r="U47" s="34"/>
      <c r="V47" s="34"/>
      <c r="W47" s="34"/>
      <c r="X47" s="34"/>
      <c r="Y47" s="34"/>
    </row>
    <row r="48" spans="1:25">
      <c r="A48" s="34"/>
      <c r="B48" s="34"/>
      <c r="C48" s="34"/>
      <c r="D48" s="34"/>
      <c r="E48" s="34"/>
      <c r="F48" s="34"/>
      <c r="G48" s="34"/>
      <c r="H48" s="34"/>
      <c r="I48" s="34"/>
      <c r="J48" s="34"/>
      <c r="K48" s="34"/>
      <c r="L48" s="34"/>
      <c r="M48" s="34"/>
      <c r="N48" s="34"/>
      <c r="O48" s="34"/>
      <c r="P48" s="34"/>
      <c r="Q48" s="34"/>
      <c r="R48" s="34"/>
      <c r="S48" s="34"/>
      <c r="T48" s="34"/>
      <c r="U48" s="34"/>
      <c r="V48" s="34"/>
      <c r="W48" s="34"/>
      <c r="X48" s="34"/>
      <c r="Y48" s="34"/>
    </row>
    <row r="49" spans="1:25">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c r="A50" s="34"/>
      <c r="B50" s="34"/>
      <c r="C50" s="34"/>
      <c r="D50" s="34"/>
      <c r="E50" s="34"/>
      <c r="F50" s="34"/>
      <c r="G50" s="34"/>
      <c r="H50" s="34"/>
      <c r="I50" s="34"/>
      <c r="J50" s="34"/>
      <c r="K50" s="34"/>
      <c r="L50" s="34"/>
      <c r="M50" s="34"/>
      <c r="N50" s="34"/>
      <c r="O50" s="34"/>
      <c r="P50" s="34"/>
      <c r="Q50" s="34"/>
      <c r="R50" s="34"/>
      <c r="S50" s="34"/>
      <c r="T50" s="34"/>
      <c r="U50" s="34"/>
      <c r="V50" s="34"/>
      <c r="W50" s="34"/>
      <c r="X50" s="34"/>
      <c r="Y50" s="34"/>
    </row>
    <row r="51" spans="1:25">
      <c r="A51" s="34"/>
      <c r="B51" s="34"/>
      <c r="C51" s="34"/>
      <c r="D51" s="34"/>
      <c r="E51" s="34"/>
      <c r="F51" s="34"/>
      <c r="G51" s="34"/>
      <c r="H51" s="34"/>
      <c r="I51" s="34"/>
      <c r="J51" s="34"/>
      <c r="K51" s="34"/>
      <c r="L51" s="34"/>
      <c r="M51" s="34"/>
      <c r="N51" s="34"/>
      <c r="O51" s="34"/>
      <c r="P51" s="34"/>
      <c r="Q51" s="34"/>
      <c r="R51" s="34"/>
      <c r="S51" s="34"/>
      <c r="T51" s="34"/>
      <c r="U51" s="34"/>
      <c r="V51" s="34"/>
      <c r="W51" s="34"/>
      <c r="X51" s="34"/>
      <c r="Y51" s="34"/>
    </row>
    <row r="52" spans="1:25">
      <c r="A52" s="34"/>
      <c r="B52" s="34"/>
      <c r="C52" s="34"/>
      <c r="D52" s="34"/>
      <c r="E52" s="34"/>
      <c r="F52" s="34"/>
      <c r="G52" s="34"/>
      <c r="H52" s="34"/>
      <c r="I52" s="34"/>
      <c r="J52" s="34"/>
      <c r="K52" s="34"/>
      <c r="L52" s="34"/>
      <c r="M52" s="34"/>
      <c r="N52" s="34"/>
      <c r="O52" s="34"/>
      <c r="P52" s="34"/>
      <c r="Q52" s="34"/>
      <c r="R52" s="34"/>
      <c r="S52" s="34"/>
      <c r="T52" s="34"/>
      <c r="U52" s="34"/>
      <c r="V52" s="34"/>
      <c r="W52" s="34"/>
      <c r="X52" s="34"/>
      <c r="Y52" s="34"/>
    </row>
    <row r="53" spans="1:25">
      <c r="A53" s="34"/>
      <c r="B53" s="34"/>
      <c r="C53" s="34"/>
      <c r="D53" s="34"/>
      <c r="E53" s="34"/>
      <c r="F53" s="34"/>
      <c r="G53" s="34"/>
      <c r="H53" s="34"/>
      <c r="I53" s="34"/>
      <c r="J53" s="34"/>
      <c r="K53" s="34"/>
      <c r="L53" s="34"/>
      <c r="M53" s="34"/>
      <c r="N53" s="34"/>
      <c r="O53" s="34"/>
      <c r="P53" s="34"/>
      <c r="Q53" s="34"/>
      <c r="R53" s="34"/>
      <c r="S53" s="34"/>
      <c r="T53" s="34"/>
      <c r="U53" s="34"/>
      <c r="V53" s="34"/>
      <c r="W53" s="34"/>
      <c r="X53" s="34"/>
      <c r="Y53" s="34"/>
    </row>
    <row r="54" spans="1:25">
      <c r="A54" s="34"/>
      <c r="B54" s="34"/>
      <c r="C54" s="34"/>
      <c r="D54" s="34"/>
      <c r="E54" s="34"/>
      <c r="F54" s="34"/>
      <c r="G54" s="34"/>
      <c r="H54" s="34"/>
      <c r="I54" s="34"/>
      <c r="J54" s="34"/>
      <c r="K54" s="34"/>
      <c r="L54" s="34"/>
      <c r="M54" s="34"/>
      <c r="N54" s="34"/>
      <c r="O54" s="34"/>
      <c r="P54" s="34"/>
      <c r="Q54" s="34"/>
      <c r="R54" s="34"/>
      <c r="S54" s="34"/>
      <c r="T54" s="34"/>
      <c r="U54" s="34"/>
      <c r="V54" s="34"/>
      <c r="W54" s="34"/>
      <c r="X54" s="34"/>
      <c r="Y54" s="34"/>
    </row>
    <row r="55" spans="1:25">
      <c r="A55" s="34"/>
      <c r="B55" s="34"/>
      <c r="C55" s="34"/>
      <c r="D55" s="34"/>
      <c r="E55" s="34"/>
      <c r="F55" s="34"/>
      <c r="G55" s="34"/>
      <c r="H55" s="34"/>
      <c r="I55" s="34"/>
      <c r="J55" s="34"/>
      <c r="K55" s="34"/>
      <c r="L55" s="34"/>
      <c r="M55" s="34"/>
      <c r="N55" s="34"/>
      <c r="O55" s="34"/>
      <c r="P55" s="34"/>
      <c r="Q55" s="34"/>
      <c r="R55" s="34"/>
      <c r="S55" s="34"/>
      <c r="T55" s="34"/>
      <c r="U55" s="34"/>
      <c r="V55" s="34"/>
      <c r="W55" s="34"/>
      <c r="X55" s="34"/>
      <c r="Y55" s="34"/>
    </row>
    <row r="56" spans="1:25">
      <c r="A56" s="34"/>
      <c r="B56" s="34"/>
      <c r="C56" s="34"/>
      <c r="D56" s="34"/>
      <c r="E56" s="34"/>
      <c r="F56" s="34"/>
      <c r="G56" s="34"/>
      <c r="H56" s="34"/>
      <c r="I56" s="34"/>
      <c r="J56" s="34"/>
      <c r="K56" s="34"/>
      <c r="L56" s="34"/>
      <c r="M56" s="34"/>
      <c r="N56" s="34"/>
      <c r="O56" s="34"/>
      <c r="P56" s="34"/>
      <c r="Q56" s="34"/>
      <c r="R56" s="34"/>
      <c r="S56" s="34"/>
      <c r="T56" s="34"/>
      <c r="U56" s="34"/>
      <c r="V56" s="34"/>
      <c r="W56" s="34"/>
      <c r="X56" s="34"/>
      <c r="Y56" s="34"/>
    </row>
    <row r="57" spans="1:25">
      <c r="A57" s="34"/>
      <c r="B57" s="34"/>
      <c r="C57" s="34"/>
      <c r="D57" s="34"/>
      <c r="E57" s="34"/>
      <c r="F57" s="34"/>
      <c r="G57" s="34"/>
      <c r="H57" s="34"/>
      <c r="I57" s="34"/>
      <c r="J57" s="34"/>
      <c r="K57" s="34"/>
      <c r="L57" s="34"/>
      <c r="M57" s="34"/>
      <c r="N57" s="34"/>
      <c r="O57" s="34"/>
      <c r="P57" s="34"/>
      <c r="Q57" s="34"/>
      <c r="R57" s="34"/>
      <c r="S57" s="34"/>
      <c r="T57" s="34"/>
      <c r="U57" s="34"/>
      <c r="V57" s="34"/>
      <c r="W57" s="34"/>
      <c r="X57" s="34"/>
      <c r="Y57" s="34"/>
    </row>
    <row r="58" spans="1:25">
      <c r="A58" s="34"/>
      <c r="B58" s="34"/>
      <c r="C58" s="34"/>
      <c r="D58" s="34"/>
      <c r="E58" s="34"/>
      <c r="F58" s="34"/>
      <c r="G58" s="34"/>
      <c r="H58" s="34"/>
      <c r="I58" s="34"/>
      <c r="J58" s="34"/>
      <c r="K58" s="34"/>
      <c r="L58" s="34"/>
      <c r="M58" s="34"/>
      <c r="N58" s="34"/>
      <c r="O58" s="34"/>
      <c r="P58" s="34"/>
      <c r="Q58" s="34"/>
      <c r="R58" s="34"/>
      <c r="S58" s="34"/>
      <c r="T58" s="34"/>
      <c r="U58" s="34"/>
      <c r="V58" s="34"/>
      <c r="W58" s="34"/>
      <c r="X58" s="34"/>
      <c r="Y58" s="34"/>
    </row>
    <row r="59" spans="1:25">
      <c r="A59" s="34"/>
      <c r="B59" s="34"/>
      <c r="C59" s="34"/>
      <c r="D59" s="34"/>
      <c r="E59" s="34"/>
      <c r="F59" s="34"/>
      <c r="G59" s="34"/>
      <c r="H59" s="34"/>
      <c r="I59" s="34"/>
      <c r="J59" s="34"/>
      <c r="K59" s="34"/>
      <c r="L59" s="34"/>
      <c r="M59" s="34"/>
      <c r="N59" s="34"/>
      <c r="O59" s="34"/>
      <c r="P59" s="34"/>
      <c r="Q59" s="34"/>
      <c r="R59" s="34"/>
      <c r="S59" s="34"/>
      <c r="T59" s="34"/>
      <c r="U59" s="34"/>
      <c r="V59" s="34"/>
      <c r="W59" s="34"/>
      <c r="X59" s="34"/>
      <c r="Y59" s="34"/>
    </row>
    <row r="60" spans="1:25">
      <c r="A60" s="34"/>
      <c r="B60" s="34"/>
      <c r="C60" s="34"/>
      <c r="D60" s="34"/>
      <c r="E60" s="34"/>
      <c r="F60" s="34"/>
      <c r="G60" s="34"/>
      <c r="H60" s="34"/>
      <c r="I60" s="34"/>
      <c r="J60" s="34"/>
      <c r="K60" s="34"/>
      <c r="L60" s="34"/>
      <c r="M60" s="34"/>
      <c r="N60" s="34"/>
      <c r="O60" s="34"/>
      <c r="P60" s="34"/>
      <c r="Q60" s="34"/>
      <c r="R60" s="34"/>
      <c r="S60" s="34"/>
      <c r="T60" s="34"/>
      <c r="U60" s="34"/>
      <c r="V60" s="34"/>
      <c r="W60" s="34"/>
      <c r="X60" s="34"/>
      <c r="Y60" s="34"/>
    </row>
  </sheetData>
  <mergeCells count="3">
    <mergeCell ref="A1:D1"/>
    <mergeCell ref="F1:G1"/>
    <mergeCell ref="H1:J1"/>
  </mergeCells>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F0E7-5BB1-4362-8600-E8D2F401223B}">
  <sheetPr>
    <tabColor rgb="FFC00000"/>
    <pageSetUpPr fitToPage="1"/>
  </sheetPr>
  <dimension ref="A1:S406"/>
  <sheetViews>
    <sheetView workbookViewId="0"/>
  </sheetViews>
  <sheetFormatPr defaultRowHeight="12.75"/>
  <cols>
    <col min="1" max="1" width="5" customWidth="1"/>
    <col min="2" max="2" width="0.85546875" customWidth="1"/>
    <col min="4" max="4" width="6.28515625" customWidth="1"/>
    <col min="5" max="5" width="4" customWidth="1"/>
    <col min="6" max="12" width="10" customWidth="1"/>
    <col min="13" max="18" width="10.5703125" customWidth="1"/>
    <col min="19" max="19" width="2.5703125" customWidth="1"/>
  </cols>
  <sheetData>
    <row r="1" spans="1:19">
      <c r="A1" s="523"/>
      <c r="C1" s="633" t="s">
        <v>193</v>
      </c>
      <c r="D1" s="634"/>
      <c r="E1" s="634"/>
      <c r="G1" s="635"/>
      <c r="H1" s="635"/>
      <c r="I1" s="2"/>
      <c r="J1" s="2"/>
      <c r="K1" s="2"/>
      <c r="L1" s="2"/>
      <c r="M1" s="2"/>
      <c r="N1" s="2"/>
      <c r="O1" s="2"/>
      <c r="P1" s="2"/>
      <c r="Q1" s="2"/>
      <c r="R1" s="2"/>
      <c r="S1" s="2"/>
    </row>
    <row r="2" spans="1:19">
      <c r="A2" s="523"/>
      <c r="C2" s="578" t="s">
        <v>18</v>
      </c>
      <c r="D2" s="582"/>
      <c r="E2" s="582"/>
      <c r="F2" s="636">
        <v>1999</v>
      </c>
      <c r="G2" s="636">
        <f t="shared" ref="G2:P2" si="0">F2+1</f>
        <v>2000</v>
      </c>
      <c r="H2" s="636">
        <f t="shared" si="0"/>
        <v>2001</v>
      </c>
      <c r="I2" s="636">
        <f t="shared" si="0"/>
        <v>2002</v>
      </c>
      <c r="J2" s="636">
        <f t="shared" si="0"/>
        <v>2003</v>
      </c>
      <c r="K2" s="636">
        <f t="shared" si="0"/>
        <v>2004</v>
      </c>
      <c r="L2" s="636">
        <f t="shared" si="0"/>
        <v>2005</v>
      </c>
      <c r="M2" s="636">
        <f t="shared" si="0"/>
        <v>2006</v>
      </c>
      <c r="N2" s="636">
        <f t="shared" si="0"/>
        <v>2007</v>
      </c>
      <c r="O2" s="636">
        <f t="shared" si="0"/>
        <v>2008</v>
      </c>
      <c r="P2" s="636">
        <f t="shared" si="0"/>
        <v>2009</v>
      </c>
      <c r="Q2" s="636">
        <f>P2+1</f>
        <v>2010</v>
      </c>
      <c r="R2" s="636">
        <f>Q2+1</f>
        <v>2011</v>
      </c>
      <c r="S2" s="636">
        <f>R2+1</f>
        <v>2012</v>
      </c>
    </row>
    <row r="3" spans="1:19">
      <c r="A3" s="523"/>
      <c r="C3" t="s">
        <v>133</v>
      </c>
      <c r="F3" s="2">
        <v>93759</v>
      </c>
      <c r="G3" s="2">
        <v>33562</v>
      </c>
      <c r="H3" s="2">
        <v>52829</v>
      </c>
      <c r="I3" s="2">
        <v>9962</v>
      </c>
      <c r="J3" s="2">
        <v>55337</v>
      </c>
      <c r="K3" s="2">
        <v>104262</v>
      </c>
      <c r="L3" s="2">
        <v>40827</v>
      </c>
      <c r="M3" s="2"/>
      <c r="N3" s="2">
        <v>44755</v>
      </c>
      <c r="O3" s="9">
        <v>71742</v>
      </c>
      <c r="P3" s="9">
        <v>47877</v>
      </c>
      <c r="Q3" s="2">
        <v>54394</v>
      </c>
      <c r="R3" s="2">
        <v>368191</v>
      </c>
    </row>
    <row r="4" spans="1:19">
      <c r="A4" s="523"/>
      <c r="C4" t="s">
        <v>135</v>
      </c>
      <c r="E4" s="634"/>
      <c r="F4" s="634">
        <v>82784</v>
      </c>
      <c r="G4" s="634">
        <v>95020</v>
      </c>
      <c r="H4" s="2">
        <v>182656</v>
      </c>
      <c r="I4" s="2">
        <v>153665</v>
      </c>
      <c r="J4" s="2">
        <v>209728</v>
      </c>
      <c r="K4" s="2">
        <v>212902</v>
      </c>
      <c r="L4" s="2">
        <v>289735</v>
      </c>
      <c r="M4" s="2">
        <v>234422</v>
      </c>
      <c r="N4" s="2">
        <v>221702</v>
      </c>
      <c r="O4" s="9">
        <v>471134</v>
      </c>
      <c r="P4" s="9">
        <v>188156</v>
      </c>
      <c r="Q4" s="2">
        <v>199114</v>
      </c>
      <c r="R4" s="2">
        <v>240885</v>
      </c>
    </row>
    <row r="5" spans="1:19">
      <c r="A5" s="523"/>
      <c r="C5" t="s">
        <v>671</v>
      </c>
      <c r="F5" s="2">
        <v>2720</v>
      </c>
      <c r="G5" s="9">
        <v>2509</v>
      </c>
      <c r="H5" s="2">
        <v>2744</v>
      </c>
      <c r="I5" s="2">
        <v>2908</v>
      </c>
      <c r="J5" s="2">
        <v>2884</v>
      </c>
      <c r="K5" s="2">
        <v>3140</v>
      </c>
      <c r="L5" s="2">
        <v>3378</v>
      </c>
      <c r="M5" s="2"/>
      <c r="N5" s="2">
        <v>10965</v>
      </c>
      <c r="O5" s="9">
        <v>8251</v>
      </c>
      <c r="P5" s="9">
        <v>7299</v>
      </c>
      <c r="Q5" s="2">
        <v>6029</v>
      </c>
      <c r="R5" s="2">
        <v>3333</v>
      </c>
    </row>
    <row r="6" spans="1:19">
      <c r="A6" s="523"/>
      <c r="C6" t="s">
        <v>144</v>
      </c>
      <c r="F6" s="2"/>
      <c r="G6" s="9"/>
      <c r="H6" s="2"/>
      <c r="I6" s="2"/>
      <c r="J6" s="2"/>
      <c r="K6" s="2"/>
      <c r="L6" s="2"/>
      <c r="M6" s="2"/>
      <c r="N6" s="2"/>
      <c r="O6" s="9"/>
      <c r="P6" s="9"/>
      <c r="Q6" s="2">
        <v>683</v>
      </c>
      <c r="R6" s="2">
        <v>632</v>
      </c>
    </row>
    <row r="7" spans="1:19">
      <c r="A7" s="523"/>
      <c r="C7" t="s">
        <v>145</v>
      </c>
      <c r="F7" s="2"/>
      <c r="G7" s="9">
        <v>7608</v>
      </c>
      <c r="H7" s="2">
        <v>8519</v>
      </c>
      <c r="I7" s="2">
        <v>18505</v>
      </c>
      <c r="J7" s="2">
        <v>12135</v>
      </c>
      <c r="K7" s="2">
        <v>0</v>
      </c>
      <c r="L7" s="2">
        <v>0</v>
      </c>
      <c r="M7" s="2"/>
      <c r="N7" s="2">
        <v>8548</v>
      </c>
      <c r="O7" s="9">
        <v>8045</v>
      </c>
      <c r="Q7" s="2"/>
      <c r="R7" s="2"/>
    </row>
    <row r="8" spans="1:19">
      <c r="A8" s="523"/>
      <c r="C8" t="s">
        <v>147</v>
      </c>
      <c r="F8" s="2"/>
      <c r="G8" s="9"/>
      <c r="H8" s="2"/>
      <c r="I8" s="2"/>
      <c r="J8" s="2"/>
      <c r="K8" s="2"/>
      <c r="L8" s="2"/>
      <c r="M8" s="2"/>
      <c r="N8" s="2"/>
      <c r="O8" s="9">
        <v>7984</v>
      </c>
      <c r="P8" s="9">
        <v>10519</v>
      </c>
      <c r="Q8" s="2">
        <v>350</v>
      </c>
      <c r="R8" s="2">
        <v>1888</v>
      </c>
    </row>
    <row r="9" spans="1:19">
      <c r="A9" s="523"/>
      <c r="C9" t="s">
        <v>148</v>
      </c>
      <c r="F9" s="2">
        <v>24</v>
      </c>
      <c r="G9" s="2">
        <f>24+3594</f>
        <v>3618</v>
      </c>
      <c r="H9" s="2">
        <v>7093</v>
      </c>
      <c r="I9" s="2">
        <v>8562</v>
      </c>
      <c r="J9" s="2">
        <f>5975+1162</f>
        <v>7137</v>
      </c>
      <c r="K9" s="2">
        <f>15754+1890</f>
        <v>17644</v>
      </c>
      <c r="L9" s="2">
        <v>27497</v>
      </c>
      <c r="M9" s="2">
        <f>16119+716</f>
        <v>16835</v>
      </c>
      <c r="N9" s="2"/>
      <c r="Q9" s="2"/>
      <c r="R9" s="2"/>
    </row>
    <row r="10" spans="1:19">
      <c r="A10" s="523"/>
      <c r="C10" t="s">
        <v>150</v>
      </c>
      <c r="F10" s="2"/>
      <c r="G10" s="2"/>
      <c r="H10" s="2"/>
      <c r="I10" s="2"/>
      <c r="J10" s="2">
        <v>4804</v>
      </c>
      <c r="K10" s="2">
        <v>9282</v>
      </c>
      <c r="L10" s="2">
        <v>10230</v>
      </c>
      <c r="M10" s="9">
        <v>254930</v>
      </c>
      <c r="N10" s="2">
        <v>609</v>
      </c>
      <c r="O10" s="2">
        <v>729</v>
      </c>
      <c r="Q10" s="2"/>
      <c r="R10" s="2"/>
    </row>
    <row r="11" spans="1:19">
      <c r="A11" s="523"/>
      <c r="C11" t="s">
        <v>934</v>
      </c>
      <c r="F11" s="2"/>
      <c r="G11" s="2"/>
      <c r="H11" s="2"/>
      <c r="I11" s="2"/>
      <c r="J11" s="2"/>
      <c r="K11" s="2"/>
      <c r="L11" s="2"/>
      <c r="M11" s="9">
        <v>60553</v>
      </c>
      <c r="N11" s="9">
        <v>1055</v>
      </c>
      <c r="O11" s="9">
        <v>37500</v>
      </c>
      <c r="P11" s="9">
        <v>13033</v>
      </c>
      <c r="Q11" s="9">
        <v>11004</v>
      </c>
      <c r="R11" s="9">
        <v>12256</v>
      </c>
    </row>
    <row r="12" spans="1:19">
      <c r="A12" s="523"/>
      <c r="C12" t="s">
        <v>202</v>
      </c>
      <c r="F12" s="2"/>
      <c r="G12" s="2"/>
      <c r="H12" s="2"/>
      <c r="I12" s="2"/>
      <c r="Q12" s="2"/>
      <c r="R12" s="2"/>
    </row>
    <row r="13" spans="1:19">
      <c r="A13" s="523"/>
      <c r="C13" t="s">
        <v>322</v>
      </c>
      <c r="F13" s="493">
        <v>17079</v>
      </c>
      <c r="G13" s="493">
        <v>24826</v>
      </c>
      <c r="H13" s="493">
        <v>22846</v>
      </c>
      <c r="I13" s="493">
        <v>52417</v>
      </c>
      <c r="J13" s="493">
        <v>45020</v>
      </c>
      <c r="K13" s="493">
        <v>37658</v>
      </c>
      <c r="L13" s="493">
        <v>30035</v>
      </c>
      <c r="M13" s="493"/>
      <c r="N13" s="10"/>
      <c r="O13" s="493"/>
      <c r="P13" s="4"/>
      <c r="Q13" s="493"/>
      <c r="R13" s="493"/>
    </row>
    <row r="14" spans="1:19">
      <c r="A14" s="523"/>
      <c r="F14" s="2">
        <f t="shared" ref="F14:Q14" si="1">SUM(F3:F13)</f>
        <v>196366</v>
      </c>
      <c r="G14" s="2">
        <f t="shared" si="1"/>
        <v>167143</v>
      </c>
      <c r="H14" s="2">
        <f t="shared" si="1"/>
        <v>276687</v>
      </c>
      <c r="I14" s="2">
        <f t="shared" si="1"/>
        <v>246019</v>
      </c>
      <c r="J14" s="2">
        <f t="shared" si="1"/>
        <v>337045</v>
      </c>
      <c r="K14" s="2">
        <f t="shared" si="1"/>
        <v>384888</v>
      </c>
      <c r="L14" s="2">
        <f t="shared" si="1"/>
        <v>401702</v>
      </c>
      <c r="M14" s="2">
        <f t="shared" si="1"/>
        <v>566740</v>
      </c>
      <c r="N14" s="2">
        <f t="shared" si="1"/>
        <v>287634</v>
      </c>
      <c r="O14" s="2">
        <f t="shared" si="1"/>
        <v>605385</v>
      </c>
      <c r="P14" s="2">
        <f t="shared" si="1"/>
        <v>266884</v>
      </c>
      <c r="Q14" s="2">
        <f t="shared" si="1"/>
        <v>271574</v>
      </c>
      <c r="R14" s="2">
        <f>SUM(R3:R13)</f>
        <v>627185</v>
      </c>
    </row>
    <row r="15" spans="1:19">
      <c r="A15" s="523"/>
      <c r="C15" t="s">
        <v>143</v>
      </c>
      <c r="F15" s="2"/>
      <c r="G15" s="2"/>
      <c r="H15" s="2"/>
      <c r="I15" s="2"/>
      <c r="J15" s="2"/>
      <c r="K15" s="2"/>
      <c r="L15" s="2"/>
      <c r="M15" s="2"/>
      <c r="N15" s="2"/>
      <c r="O15" s="2"/>
      <c r="Q15" s="2">
        <v>4984</v>
      </c>
      <c r="R15" s="2">
        <v>4895</v>
      </c>
    </row>
    <row r="16" spans="1:19">
      <c r="A16" s="523"/>
      <c r="C16" t="s">
        <v>139</v>
      </c>
      <c r="F16" s="2"/>
      <c r="G16" s="2"/>
      <c r="H16" s="2"/>
      <c r="I16" s="2"/>
      <c r="J16" s="2"/>
      <c r="K16" s="2"/>
      <c r="L16" s="2"/>
      <c r="M16" s="2"/>
      <c r="N16" s="2"/>
      <c r="O16" s="2"/>
      <c r="Q16" s="2"/>
      <c r="R16" s="2"/>
    </row>
    <row r="17" spans="1:19">
      <c r="A17" s="523"/>
      <c r="C17" t="s">
        <v>153</v>
      </c>
      <c r="F17" s="2"/>
      <c r="G17" s="2"/>
      <c r="H17" s="2"/>
      <c r="I17" s="2"/>
      <c r="J17" s="2"/>
      <c r="K17" s="2"/>
      <c r="L17" s="2"/>
      <c r="M17" s="2"/>
      <c r="N17" s="2">
        <v>16567</v>
      </c>
      <c r="O17" s="9">
        <v>11780</v>
      </c>
      <c r="P17">
        <v>6993</v>
      </c>
      <c r="Q17" s="2">
        <v>6077</v>
      </c>
      <c r="R17" s="2">
        <v>6065</v>
      </c>
    </row>
    <row r="18" spans="1:19">
      <c r="A18" s="523"/>
      <c r="C18" t="s">
        <v>154</v>
      </c>
      <c r="F18" s="2"/>
      <c r="G18" s="2"/>
      <c r="H18" s="2"/>
      <c r="I18" s="2"/>
      <c r="J18" s="2"/>
      <c r="K18" s="2"/>
      <c r="L18" s="2"/>
      <c r="M18" s="2"/>
      <c r="N18" s="2"/>
      <c r="O18" s="2">
        <v>2811</v>
      </c>
      <c r="P18">
        <v>2211</v>
      </c>
      <c r="Q18" s="2">
        <v>294</v>
      </c>
      <c r="R18" s="2">
        <v>4402</v>
      </c>
    </row>
    <row r="19" spans="1:19">
      <c r="A19" s="523"/>
      <c r="C19" t="s">
        <v>200</v>
      </c>
      <c r="F19" s="2"/>
      <c r="G19" s="2"/>
      <c r="H19" s="2"/>
      <c r="I19" s="2"/>
      <c r="J19" s="2"/>
      <c r="K19" s="2"/>
      <c r="L19" s="2"/>
      <c r="M19" s="9"/>
      <c r="N19" s="9">
        <v>39888</v>
      </c>
      <c r="O19" s="9">
        <v>101642</v>
      </c>
      <c r="P19">
        <v>113983</v>
      </c>
      <c r="Q19" s="9">
        <v>171891</v>
      </c>
      <c r="R19" s="9">
        <v>41742</v>
      </c>
    </row>
    <row r="20" spans="1:19">
      <c r="A20" s="523"/>
      <c r="C20" t="s">
        <v>202</v>
      </c>
      <c r="F20" s="2"/>
      <c r="G20" s="2"/>
      <c r="H20" s="2"/>
      <c r="I20" s="2"/>
      <c r="J20" s="2">
        <v>195489</v>
      </c>
      <c r="K20" s="2">
        <v>179537</v>
      </c>
      <c r="L20" s="2">
        <v>150711</v>
      </c>
      <c r="M20" s="2">
        <v>26594</v>
      </c>
      <c r="N20" s="2">
        <v>49592</v>
      </c>
      <c r="O20" s="9">
        <v>42358</v>
      </c>
      <c r="P20" s="9">
        <v>43633</v>
      </c>
      <c r="Q20" s="2">
        <v>50053</v>
      </c>
      <c r="R20" s="2">
        <v>46930</v>
      </c>
    </row>
    <row r="21" spans="1:19">
      <c r="A21" s="523"/>
      <c r="C21" t="s">
        <v>156</v>
      </c>
      <c r="F21" s="2"/>
      <c r="G21" s="2"/>
      <c r="H21" s="2"/>
      <c r="I21" s="2"/>
      <c r="J21" s="2"/>
      <c r="K21" s="2"/>
      <c r="L21" s="2"/>
      <c r="M21" s="2">
        <v>132</v>
      </c>
      <c r="N21" s="2">
        <v>37</v>
      </c>
      <c r="O21" s="2">
        <v>1122</v>
      </c>
      <c r="P21" s="9">
        <v>449</v>
      </c>
      <c r="Q21" s="2">
        <v>3399</v>
      </c>
      <c r="R21" s="2">
        <v>7947</v>
      </c>
    </row>
    <row r="22" spans="1:19">
      <c r="A22" s="523"/>
      <c r="C22" t="s">
        <v>158</v>
      </c>
      <c r="F22" s="2">
        <v>2089995</v>
      </c>
      <c r="G22" s="2">
        <v>2261789</v>
      </c>
      <c r="H22" s="2">
        <v>2290003</v>
      </c>
      <c r="I22" s="2">
        <v>2505982</v>
      </c>
      <c r="J22" s="2">
        <v>3411339</v>
      </c>
      <c r="K22" s="2">
        <v>3477704</v>
      </c>
      <c r="L22" s="2">
        <v>3901041</v>
      </c>
      <c r="M22" s="2">
        <f>4748839+300</f>
        <v>4749139</v>
      </c>
      <c r="N22" s="2">
        <f>6315073-94932+49196</f>
        <v>6269337</v>
      </c>
      <c r="O22" s="2">
        <v>6306405</v>
      </c>
      <c r="P22" s="9">
        <v>6395030</v>
      </c>
      <c r="Q22" s="2">
        <f>8300130-Q23</f>
        <v>8017808</v>
      </c>
      <c r="R22" s="9">
        <f>7720807-273934+122341</f>
        <v>7569214</v>
      </c>
      <c r="S22">
        <f>8207327-282322+94003</f>
        <v>8019008</v>
      </c>
    </row>
    <row r="23" spans="1:19">
      <c r="A23" s="523"/>
      <c r="C23" t="s">
        <v>159</v>
      </c>
      <c r="F23" s="2"/>
      <c r="G23" s="2"/>
      <c r="H23" s="2">
        <v>212544</v>
      </c>
      <c r="I23" s="2">
        <v>52823</v>
      </c>
      <c r="J23" s="2">
        <v>118126</v>
      </c>
      <c r="K23" s="2">
        <v>215374</v>
      </c>
      <c r="L23" s="2">
        <v>93643</v>
      </c>
      <c r="M23" s="2">
        <v>94869</v>
      </c>
      <c r="N23" s="2">
        <v>94932</v>
      </c>
      <c r="O23" s="2">
        <v>309589</v>
      </c>
      <c r="P23" s="9">
        <v>677980</v>
      </c>
      <c r="Q23" s="2">
        <v>282322</v>
      </c>
      <c r="R23" s="9">
        <v>273934</v>
      </c>
    </row>
    <row r="24" spans="1:19">
      <c r="A24" s="523"/>
      <c r="C24" t="s">
        <v>935</v>
      </c>
      <c r="F24" s="493">
        <f>-56-14632</f>
        <v>-14688</v>
      </c>
      <c r="G24" s="493">
        <f>-192-62280</f>
        <v>-62472</v>
      </c>
      <c r="H24" s="493">
        <f>-346-128833</f>
        <v>-129179</v>
      </c>
      <c r="I24" s="493">
        <v>-172329</v>
      </c>
      <c r="J24" s="493">
        <v>-35096</v>
      </c>
      <c r="K24" s="493">
        <v>-111776</v>
      </c>
      <c r="L24" s="493">
        <v>-198472</v>
      </c>
      <c r="M24" s="10">
        <v>-52032.000000001877</v>
      </c>
      <c r="N24" s="493">
        <v>-49196</v>
      </c>
      <c r="O24" s="493">
        <v>-183404</v>
      </c>
      <c r="P24" s="10">
        <v>-329895</v>
      </c>
      <c r="Q24" s="493">
        <v>-92803</v>
      </c>
      <c r="R24" s="10">
        <v>-122341</v>
      </c>
    </row>
    <row r="25" spans="1:19">
      <c r="A25" s="523"/>
      <c r="C25" t="s">
        <v>164</v>
      </c>
      <c r="F25" s="493">
        <f t="shared" ref="F25:L25" si="2">SUM(F22:F24)</f>
        <v>2075307</v>
      </c>
      <c r="G25" s="493">
        <f t="shared" si="2"/>
        <v>2199317</v>
      </c>
      <c r="H25" s="493">
        <f t="shared" si="2"/>
        <v>2373368</v>
      </c>
      <c r="I25" s="493">
        <f t="shared" si="2"/>
        <v>2386476</v>
      </c>
      <c r="J25" s="493">
        <f t="shared" si="2"/>
        <v>3494369</v>
      </c>
      <c r="K25" s="493">
        <f t="shared" si="2"/>
        <v>3581302</v>
      </c>
      <c r="L25" s="493">
        <f t="shared" si="2"/>
        <v>3796212</v>
      </c>
      <c r="M25" s="493">
        <f>M24+M23+M22</f>
        <v>4791975.9999999981</v>
      </c>
      <c r="N25" s="493">
        <f>SUM(N22:N24)</f>
        <v>6315073</v>
      </c>
      <c r="O25" s="493">
        <f>SUM(O22:O24)</f>
        <v>6432590</v>
      </c>
      <c r="P25" s="493">
        <f>SUM(P22:P24)</f>
        <v>6743115</v>
      </c>
      <c r="Q25" s="9">
        <f>SUM(Q22:Q24)</f>
        <v>8207327</v>
      </c>
      <c r="R25" s="9">
        <f>SUM(R22:R24)</f>
        <v>7720807</v>
      </c>
    </row>
    <row r="26" spans="1:19" ht="13.5" thickBot="1">
      <c r="A26" s="523"/>
      <c r="C26" s="1" t="s">
        <v>165</v>
      </c>
      <c r="F26" s="577">
        <f t="shared" ref="F26:M26" si="3">F14+SUM(F15:F21)+F25</f>
        <v>2271673</v>
      </c>
      <c r="G26" s="577">
        <f t="shared" si="3"/>
        <v>2366460</v>
      </c>
      <c r="H26" s="577">
        <f t="shared" si="3"/>
        <v>2650055</v>
      </c>
      <c r="I26" s="577">
        <f t="shared" si="3"/>
        <v>2632495</v>
      </c>
      <c r="J26" s="577">
        <f t="shared" si="3"/>
        <v>4026903</v>
      </c>
      <c r="K26" s="577">
        <f t="shared" si="3"/>
        <v>4145727</v>
      </c>
      <c r="L26" s="577">
        <f t="shared" si="3"/>
        <v>4348625</v>
      </c>
      <c r="M26" s="577">
        <f t="shared" si="3"/>
        <v>5385441.9999999981</v>
      </c>
      <c r="N26" s="577">
        <f>N14+SUM(N16:N21)+N25</f>
        <v>6708791</v>
      </c>
      <c r="O26" s="577">
        <f>O14+SUM(O16:O21)+O25</f>
        <v>7197688</v>
      </c>
      <c r="P26" s="577">
        <f>P14+SUM(P16:P21)+P25</f>
        <v>7177268</v>
      </c>
      <c r="Q26" s="577">
        <f>Q14+SUM(Q15:Q21)+Q25</f>
        <v>8715599</v>
      </c>
      <c r="R26" s="26">
        <f>R14+SUM(R15:R21)+R25</f>
        <v>8459973</v>
      </c>
    </row>
    <row r="27" spans="1:19" ht="13.5" thickTop="1">
      <c r="A27" s="523"/>
      <c r="C27" s="578" t="s">
        <v>20</v>
      </c>
      <c r="D27" s="582"/>
      <c r="E27" s="582"/>
      <c r="F27" s="636">
        <v>1999</v>
      </c>
      <c r="G27" s="636">
        <f t="shared" ref="G27:R27" si="4">F27+1</f>
        <v>2000</v>
      </c>
      <c r="H27" s="636">
        <f t="shared" si="4"/>
        <v>2001</v>
      </c>
      <c r="I27" s="636">
        <f t="shared" si="4"/>
        <v>2002</v>
      </c>
      <c r="J27" s="636">
        <f t="shared" si="4"/>
        <v>2003</v>
      </c>
      <c r="K27" s="636">
        <f t="shared" si="4"/>
        <v>2004</v>
      </c>
      <c r="L27" s="636">
        <f t="shared" si="4"/>
        <v>2005</v>
      </c>
      <c r="M27" s="636">
        <f t="shared" si="4"/>
        <v>2006</v>
      </c>
      <c r="N27" s="636">
        <f t="shared" si="4"/>
        <v>2007</v>
      </c>
      <c r="O27" s="636">
        <f t="shared" si="4"/>
        <v>2008</v>
      </c>
      <c r="P27" s="636">
        <f t="shared" si="4"/>
        <v>2009</v>
      </c>
      <c r="Q27" s="636">
        <f t="shared" si="4"/>
        <v>2010</v>
      </c>
      <c r="R27" s="636">
        <f t="shared" si="4"/>
        <v>2011</v>
      </c>
    </row>
    <row r="28" spans="1:19">
      <c r="A28" s="523"/>
      <c r="C28" s="490" t="s">
        <v>14</v>
      </c>
      <c r="F28" s="2"/>
      <c r="G28" s="2"/>
      <c r="H28" s="2"/>
      <c r="I28" s="2"/>
      <c r="J28" s="2"/>
      <c r="K28" s="2"/>
      <c r="L28" s="2"/>
      <c r="M28" s="2"/>
      <c r="N28" s="2"/>
      <c r="O28" s="2"/>
      <c r="Q28" s="2"/>
      <c r="R28" s="2"/>
    </row>
    <row r="29" spans="1:19">
      <c r="A29" s="523"/>
      <c r="C29" t="s">
        <v>167</v>
      </c>
      <c r="F29" s="2">
        <v>41728</v>
      </c>
      <c r="G29" s="2">
        <v>64139</v>
      </c>
      <c r="H29" s="2">
        <v>102775</v>
      </c>
      <c r="I29" s="2">
        <v>7394</v>
      </c>
      <c r="J29" s="2">
        <v>22807</v>
      </c>
      <c r="K29" s="2">
        <v>38973</v>
      </c>
      <c r="L29" s="2">
        <v>37722</v>
      </c>
      <c r="M29" s="2"/>
      <c r="N29" s="2">
        <v>193707</v>
      </c>
      <c r="O29" s="2">
        <v>528900</v>
      </c>
      <c r="P29" s="217">
        <f>134421+6218+4353</f>
        <v>144992</v>
      </c>
      <c r="Q29" s="2">
        <f>11065+155636+4727</f>
        <v>171428</v>
      </c>
      <c r="R29" s="2">
        <f>16629+166937</f>
        <v>183566</v>
      </c>
    </row>
    <row r="30" spans="1:19">
      <c r="A30" s="523"/>
      <c r="C30" t="s">
        <v>168</v>
      </c>
      <c r="F30" s="2">
        <v>1286</v>
      </c>
      <c r="G30" s="2">
        <v>2363</v>
      </c>
      <c r="H30" s="2">
        <v>3050</v>
      </c>
      <c r="I30" s="2">
        <v>2820</v>
      </c>
      <c r="J30" s="2">
        <v>6642</v>
      </c>
      <c r="K30" s="2">
        <v>5067</v>
      </c>
      <c r="L30" s="2">
        <v>6609</v>
      </c>
      <c r="M30" s="2"/>
      <c r="N30" s="2">
        <v>8592</v>
      </c>
      <c r="O30" s="2">
        <v>7116</v>
      </c>
      <c r="P30" s="9">
        <v>10595</v>
      </c>
      <c r="Q30" s="2">
        <v>14582</v>
      </c>
      <c r="R30" s="2">
        <v>16018</v>
      </c>
    </row>
    <row r="31" spans="1:19">
      <c r="A31" s="523"/>
      <c r="C31" t="s">
        <v>169</v>
      </c>
      <c r="F31" s="2">
        <v>9352</v>
      </c>
      <c r="G31" s="2">
        <v>12420</v>
      </c>
      <c r="H31" s="2">
        <v>3900</v>
      </c>
      <c r="I31" s="2">
        <v>940</v>
      </c>
      <c r="J31" s="2">
        <v>22334</v>
      </c>
      <c r="K31" s="2">
        <v>47167</v>
      </c>
      <c r="L31" s="2">
        <v>57713</v>
      </c>
      <c r="M31" s="2"/>
      <c r="N31" s="2">
        <v>5603</v>
      </c>
      <c r="O31" s="2">
        <v>6038</v>
      </c>
      <c r="P31" s="9">
        <v>5163</v>
      </c>
      <c r="Q31" s="2">
        <v>4873</v>
      </c>
      <c r="R31" s="2">
        <v>4140</v>
      </c>
    </row>
    <row r="32" spans="1:19">
      <c r="A32" s="523"/>
      <c r="C32" t="s">
        <v>172</v>
      </c>
      <c r="F32" s="2">
        <v>20877</v>
      </c>
      <c r="G32" s="2">
        <v>66726</v>
      </c>
      <c r="H32" s="2">
        <v>148717</v>
      </c>
      <c r="I32" s="2">
        <v>89198</v>
      </c>
      <c r="J32" s="2">
        <v>153040</v>
      </c>
      <c r="K32" s="2">
        <v>166865</v>
      </c>
      <c r="L32" s="2">
        <v>191539</v>
      </c>
      <c r="M32" s="9">
        <v>195221</v>
      </c>
      <c r="N32" s="2"/>
      <c r="O32" s="9"/>
      <c r="Q32" s="2"/>
      <c r="R32" s="2"/>
    </row>
    <row r="33" spans="1:19">
      <c r="A33" s="523"/>
      <c r="C33" t="s">
        <v>174</v>
      </c>
      <c r="F33" s="2">
        <v>4209</v>
      </c>
      <c r="G33" s="2">
        <v>1788</v>
      </c>
      <c r="H33" s="2">
        <v>5759</v>
      </c>
      <c r="I33" s="2">
        <v>1636</v>
      </c>
      <c r="J33" s="2">
        <v>886</v>
      </c>
      <c r="K33" s="2">
        <v>-3381</v>
      </c>
      <c r="L33" s="2">
        <v>5378</v>
      </c>
      <c r="M33" s="2"/>
      <c r="N33" s="2">
        <v>6478</v>
      </c>
      <c r="O33" s="2">
        <v>5510</v>
      </c>
      <c r="P33" s="9">
        <v>9722</v>
      </c>
      <c r="Q33" s="2">
        <v>10731</v>
      </c>
      <c r="R33" s="2">
        <v>13280</v>
      </c>
    </row>
    <row r="34" spans="1:19">
      <c r="A34" s="523"/>
      <c r="C34" t="s">
        <v>175</v>
      </c>
      <c r="F34" s="2"/>
      <c r="G34" s="2"/>
      <c r="H34" s="2"/>
      <c r="I34" s="2"/>
      <c r="J34" s="2"/>
      <c r="K34" s="2"/>
      <c r="L34" s="2"/>
      <c r="M34" s="2"/>
      <c r="N34" s="2">
        <v>3440</v>
      </c>
      <c r="O34" s="9">
        <f>1940+138</f>
        <v>2078</v>
      </c>
      <c r="P34" s="393">
        <f>1372+194</f>
        <v>1566</v>
      </c>
      <c r="Q34" s="2">
        <f>736+15</f>
        <v>751</v>
      </c>
      <c r="R34" s="2">
        <v>94</v>
      </c>
    </row>
    <row r="35" spans="1:19">
      <c r="A35" s="523"/>
      <c r="C35" t="s">
        <v>200</v>
      </c>
      <c r="F35" s="2"/>
      <c r="G35" s="2"/>
      <c r="H35" s="2"/>
      <c r="I35" s="2"/>
      <c r="J35" s="2"/>
      <c r="K35" s="2"/>
      <c r="L35" s="2"/>
      <c r="M35" s="9">
        <v>21004</v>
      </c>
      <c r="N35" s="9">
        <v>3583</v>
      </c>
      <c r="O35" s="9">
        <v>46068</v>
      </c>
      <c r="P35" s="9">
        <v>33567</v>
      </c>
      <c r="Q35" s="9">
        <v>38592</v>
      </c>
      <c r="R35" s="9">
        <v>17779</v>
      </c>
    </row>
    <row r="36" spans="1:19">
      <c r="A36" s="523"/>
      <c r="C36" t="s">
        <v>176</v>
      </c>
      <c r="F36" s="2">
        <v>489</v>
      </c>
      <c r="G36" s="2"/>
      <c r="H36" s="2"/>
      <c r="I36" s="2"/>
      <c r="J36" s="2"/>
      <c r="K36" s="2">
        <v>2545</v>
      </c>
      <c r="L36" s="2">
        <v>2257</v>
      </c>
      <c r="M36" s="2"/>
      <c r="N36" s="2"/>
      <c r="O36" s="2"/>
      <c r="P36" s="9">
        <v>28041</v>
      </c>
      <c r="Q36" s="2">
        <v>31633</v>
      </c>
      <c r="R36" s="2">
        <v>36608</v>
      </c>
    </row>
    <row r="37" spans="1:19">
      <c r="A37" s="523"/>
      <c r="C37" t="s">
        <v>178</v>
      </c>
      <c r="F37" s="2">
        <v>99952</v>
      </c>
      <c r="G37" s="2">
        <v>29393</v>
      </c>
      <c r="H37" s="2">
        <v>142479</v>
      </c>
      <c r="I37" s="2"/>
      <c r="J37" s="2"/>
      <c r="K37" s="2"/>
      <c r="L37" s="2"/>
      <c r="M37" s="2"/>
      <c r="N37" s="2"/>
      <c r="O37" s="2"/>
      <c r="Q37" s="2"/>
      <c r="R37" s="2"/>
    </row>
    <row r="38" spans="1:19">
      <c r="A38" s="523"/>
      <c r="C38" t="s">
        <v>179</v>
      </c>
      <c r="F38" s="493">
        <v>49500</v>
      </c>
      <c r="G38" s="493">
        <v>23198</v>
      </c>
      <c r="H38" s="493">
        <v>378371</v>
      </c>
      <c r="I38" s="493">
        <v>184731</v>
      </c>
      <c r="J38" s="493">
        <v>723098</v>
      </c>
      <c r="K38" s="493">
        <v>158310</v>
      </c>
      <c r="L38" s="493">
        <v>370141</v>
      </c>
      <c r="M38" s="493"/>
      <c r="N38" s="493"/>
      <c r="O38" s="493">
        <v>149808</v>
      </c>
      <c r="P38" s="10">
        <v>123166</v>
      </c>
      <c r="Q38" s="493">
        <v>284417</v>
      </c>
      <c r="R38" s="493">
        <v>298167</v>
      </c>
      <c r="S38" s="14">
        <f>Q38+Q43-Q3</f>
        <v>1553081</v>
      </c>
    </row>
    <row r="39" spans="1:19">
      <c r="A39" s="523"/>
      <c r="F39" s="2">
        <f t="shared" ref="F39:Q39" si="5">SUM(F28:F38)</f>
        <v>227393</v>
      </c>
      <c r="G39" s="2">
        <f t="shared" si="5"/>
        <v>200027</v>
      </c>
      <c r="H39" s="2">
        <f t="shared" si="5"/>
        <v>785051</v>
      </c>
      <c r="I39" s="2">
        <f t="shared" si="5"/>
        <v>286719</v>
      </c>
      <c r="J39" s="2">
        <f t="shared" si="5"/>
        <v>928807</v>
      </c>
      <c r="K39" s="2">
        <f t="shared" si="5"/>
        <v>415546</v>
      </c>
      <c r="L39" s="2">
        <f t="shared" si="5"/>
        <v>671359</v>
      </c>
      <c r="M39" s="2">
        <f t="shared" si="5"/>
        <v>216225</v>
      </c>
      <c r="N39" s="2">
        <f t="shared" si="5"/>
        <v>221403</v>
      </c>
      <c r="O39" s="2">
        <f t="shared" si="5"/>
        <v>745518</v>
      </c>
      <c r="P39" s="2">
        <f t="shared" si="5"/>
        <v>356812</v>
      </c>
      <c r="Q39" s="2">
        <f t="shared" si="5"/>
        <v>557007</v>
      </c>
      <c r="R39" s="2">
        <f>SUM(R28:R38)</f>
        <v>569652</v>
      </c>
      <c r="S39" s="14">
        <f>Q52+S38</f>
        <v>6622060</v>
      </c>
    </row>
    <row r="40" spans="1:19">
      <c r="A40" s="523"/>
      <c r="C40" t="s">
        <v>12</v>
      </c>
      <c r="F40" s="581">
        <v>5014</v>
      </c>
      <c r="G40" s="581">
        <v>28728</v>
      </c>
      <c r="H40" s="581">
        <v>66401</v>
      </c>
      <c r="I40" s="581">
        <v>92031</v>
      </c>
      <c r="J40" s="581">
        <v>138871</v>
      </c>
      <c r="K40" s="581">
        <v>145260</v>
      </c>
      <c r="L40" s="581">
        <v>179168</v>
      </c>
      <c r="M40" s="581">
        <v>970959</v>
      </c>
      <c r="N40" s="581">
        <v>1331772</v>
      </c>
      <c r="O40" s="581">
        <v>1329478</v>
      </c>
      <c r="P40" s="581">
        <v>1301231</v>
      </c>
      <c r="Q40" s="581">
        <v>1559507</v>
      </c>
      <c r="R40" s="581">
        <v>1412330</v>
      </c>
    </row>
    <row r="41" spans="1:19">
      <c r="A41" s="523"/>
      <c r="C41" t="s">
        <v>200</v>
      </c>
      <c r="F41" s="2"/>
      <c r="G41" s="2"/>
      <c r="H41" s="2"/>
      <c r="I41" s="2"/>
      <c r="J41" s="2"/>
      <c r="K41" s="2"/>
      <c r="L41" s="2"/>
      <c r="M41" s="9"/>
      <c r="N41" s="9">
        <v>124119</v>
      </c>
      <c r="O41" s="9">
        <v>124834</v>
      </c>
      <c r="P41" s="393">
        <v>106402</v>
      </c>
      <c r="Q41" s="9">
        <v>152389</v>
      </c>
      <c r="R41" s="9">
        <v>235746</v>
      </c>
    </row>
    <row r="42" spans="1:19">
      <c r="A42" s="523"/>
      <c r="C42" t="s">
        <v>180</v>
      </c>
      <c r="F42" s="2"/>
      <c r="G42" s="2"/>
      <c r="H42" s="2"/>
      <c r="I42" s="2"/>
      <c r="J42" s="2"/>
      <c r="K42" s="2"/>
      <c r="L42" s="2"/>
      <c r="M42" s="2"/>
      <c r="N42" s="2"/>
      <c r="O42" s="2"/>
      <c r="P42" s="217"/>
      <c r="Q42" s="2">
        <v>52954</v>
      </c>
      <c r="R42" s="2">
        <v>35564</v>
      </c>
    </row>
    <row r="43" spans="1:19">
      <c r="A43" s="523"/>
      <c r="C43" t="s">
        <v>182</v>
      </c>
      <c r="F43" s="493">
        <v>477911</v>
      </c>
      <c r="G43" s="493">
        <v>464554</v>
      </c>
      <c r="H43" s="493">
        <v>180444</v>
      </c>
      <c r="I43" s="493">
        <v>591498</v>
      </c>
      <c r="J43" s="493">
        <f>653178+6245</f>
        <v>659423</v>
      </c>
      <c r="K43" s="493">
        <f>1176566+6576</f>
        <v>1183142</v>
      </c>
      <c r="L43" s="493">
        <f>1021825+7193</f>
        <v>1029018</v>
      </c>
      <c r="M43" s="493">
        <v>760194</v>
      </c>
      <c r="N43" s="493">
        <v>629707</v>
      </c>
      <c r="O43" s="493">
        <v>793226</v>
      </c>
      <c r="P43" s="10">
        <v>1128695</v>
      </c>
      <c r="Q43" s="493">
        <v>1323058</v>
      </c>
      <c r="R43" s="493">
        <v>1275379</v>
      </c>
    </row>
    <row r="44" spans="1:19">
      <c r="A44" s="523"/>
      <c r="F44" s="2">
        <f t="shared" ref="F44:R44" si="6">SUM(F40:F43)</f>
        <v>482925</v>
      </c>
      <c r="G44" s="2">
        <f t="shared" si="6"/>
        <v>493282</v>
      </c>
      <c r="H44" s="2">
        <f t="shared" si="6"/>
        <v>246845</v>
      </c>
      <c r="I44" s="2">
        <f t="shared" si="6"/>
        <v>683529</v>
      </c>
      <c r="J44" s="2">
        <f t="shared" si="6"/>
        <v>798294</v>
      </c>
      <c r="K44" s="2">
        <f t="shared" si="6"/>
        <v>1328402</v>
      </c>
      <c r="L44" s="2">
        <f t="shared" si="6"/>
        <v>1208186</v>
      </c>
      <c r="M44" s="2">
        <f t="shared" si="6"/>
        <v>1731153</v>
      </c>
      <c r="N44" s="2">
        <f t="shared" si="6"/>
        <v>2085598</v>
      </c>
      <c r="O44" s="2">
        <f t="shared" si="6"/>
        <v>2247538</v>
      </c>
      <c r="P44" s="2">
        <f t="shared" si="6"/>
        <v>2536328</v>
      </c>
      <c r="Q44" s="2">
        <f t="shared" si="6"/>
        <v>3087908</v>
      </c>
      <c r="R44" s="2">
        <f t="shared" si="6"/>
        <v>2959019</v>
      </c>
    </row>
    <row r="45" spans="1:19">
      <c r="A45" s="523"/>
      <c r="F45" s="2"/>
      <c r="G45" s="2"/>
      <c r="H45" s="2"/>
      <c r="I45" s="2"/>
      <c r="J45" s="2"/>
      <c r="K45" s="2"/>
      <c r="L45" s="2"/>
      <c r="M45" s="2"/>
      <c r="N45" s="2"/>
      <c r="O45" s="2"/>
      <c r="Q45" s="2"/>
      <c r="R45" s="9"/>
    </row>
    <row r="46" spans="1:19">
      <c r="A46" s="523"/>
      <c r="C46" t="s">
        <v>183</v>
      </c>
      <c r="F46" s="2">
        <v>1600000</v>
      </c>
      <c r="G46" s="2">
        <v>1600000</v>
      </c>
      <c r="H46" s="2">
        <v>1600000</v>
      </c>
      <c r="I46" s="2">
        <f>H46</f>
        <v>1600000</v>
      </c>
      <c r="J46" s="2">
        <v>1600000</v>
      </c>
      <c r="K46" s="2">
        <v>1600000</v>
      </c>
      <c r="L46" s="2">
        <v>1600000</v>
      </c>
      <c r="M46" s="2">
        <v>1600000</v>
      </c>
      <c r="N46" s="2">
        <v>1600000</v>
      </c>
      <c r="O46" s="2">
        <v>1600000</v>
      </c>
      <c r="P46" s="2">
        <v>1600000</v>
      </c>
      <c r="Q46" s="2">
        <v>1600000</v>
      </c>
      <c r="R46" s="2">
        <v>1600000</v>
      </c>
    </row>
    <row r="47" spans="1:19">
      <c r="A47" s="523"/>
      <c r="C47" t="s">
        <v>15</v>
      </c>
      <c r="F47" s="581"/>
      <c r="G47" s="581">
        <v>77813</v>
      </c>
      <c r="H47" s="581">
        <f>G47</f>
        <v>77813</v>
      </c>
      <c r="I47" s="581">
        <v>77802</v>
      </c>
      <c r="J47" s="581">
        <v>677802</v>
      </c>
      <c r="K47" s="581">
        <v>677802</v>
      </c>
      <c r="L47" s="581">
        <v>677802</v>
      </c>
      <c r="M47" s="581">
        <v>1652713</v>
      </c>
      <c r="N47" s="581">
        <v>2746509</v>
      </c>
      <c r="O47" s="581">
        <v>2737795</v>
      </c>
      <c r="P47" s="581">
        <v>2737092</v>
      </c>
      <c r="Q47" s="581">
        <v>3686651</v>
      </c>
      <c r="R47" s="581">
        <v>3392516</v>
      </c>
    </row>
    <row r="48" spans="1:19">
      <c r="A48" s="523"/>
      <c r="C48" t="s">
        <v>185</v>
      </c>
      <c r="F48" s="2"/>
      <c r="G48" s="2"/>
      <c r="H48" s="2">
        <v>1387</v>
      </c>
      <c r="I48" s="2">
        <f>-8957+H48</f>
        <v>-7570</v>
      </c>
      <c r="J48" s="2">
        <f>5471+I48</f>
        <v>-2099</v>
      </c>
      <c r="K48" s="2">
        <v>-15627</v>
      </c>
      <c r="L48" s="2">
        <v>-17724</v>
      </c>
      <c r="M48" s="2">
        <v>6</v>
      </c>
      <c r="N48" s="2">
        <v>4</v>
      </c>
      <c r="O48" s="2">
        <v>85</v>
      </c>
      <c r="P48" s="9">
        <v>340</v>
      </c>
      <c r="Q48" s="2">
        <v>-2720</v>
      </c>
      <c r="R48" s="2">
        <v>-655</v>
      </c>
    </row>
    <row r="49" spans="1:18">
      <c r="A49" s="523"/>
      <c r="C49" t="s">
        <v>186</v>
      </c>
      <c r="F49" s="2"/>
      <c r="G49" s="2"/>
      <c r="H49" s="2"/>
      <c r="I49" s="2"/>
      <c r="J49" s="2"/>
      <c r="K49" s="2"/>
      <c r="L49" s="2"/>
      <c r="M49" s="2">
        <v>14891</v>
      </c>
      <c r="N49" s="2">
        <v>2316</v>
      </c>
      <c r="O49" s="2">
        <v>-24352</v>
      </c>
      <c r="P49" s="9">
        <v>-5525</v>
      </c>
      <c r="Q49" s="2">
        <v>659</v>
      </c>
      <c r="R49" s="2">
        <v>-217</v>
      </c>
    </row>
    <row r="50" spans="1:18">
      <c r="A50" s="523"/>
      <c r="C50" t="s">
        <v>187</v>
      </c>
      <c r="F50" s="2"/>
      <c r="G50" s="2"/>
      <c r="H50" s="2"/>
      <c r="I50" s="2"/>
      <c r="J50" s="2"/>
      <c r="K50" s="2"/>
      <c r="L50" s="2"/>
      <c r="M50" s="2">
        <v>1065</v>
      </c>
      <c r="N50" s="2">
        <v>1544</v>
      </c>
      <c r="O50" s="2">
        <v>-673</v>
      </c>
      <c r="P50" s="9">
        <v>380</v>
      </c>
      <c r="Q50" s="2">
        <v>387</v>
      </c>
      <c r="R50" s="2">
        <v>162</v>
      </c>
    </row>
    <row r="51" spans="1:18">
      <c r="A51" s="523"/>
      <c r="C51" t="s">
        <v>199</v>
      </c>
      <c r="F51" s="493">
        <v>-38645</v>
      </c>
      <c r="G51" s="493">
        <v>-4662</v>
      </c>
      <c r="H51" s="493">
        <v>-61041</v>
      </c>
      <c r="I51" s="493">
        <v>-7985</v>
      </c>
      <c r="J51" s="493">
        <v>24099</v>
      </c>
      <c r="K51" s="493">
        <v>139604</v>
      </c>
      <c r="L51" s="493">
        <v>209002</v>
      </c>
      <c r="M51" s="493">
        <v>169389</v>
      </c>
      <c r="N51" s="493">
        <v>39807</v>
      </c>
      <c r="O51" s="493">
        <v>-111560</v>
      </c>
      <c r="P51" s="10">
        <v>-50648</v>
      </c>
      <c r="Q51" s="493">
        <v>-215998</v>
      </c>
      <c r="R51" s="493">
        <v>-61402</v>
      </c>
    </row>
    <row r="52" spans="1:18">
      <c r="A52" s="523"/>
      <c r="F52" s="2">
        <f t="shared" ref="F52:R52" si="7">SUM(F46:F51)</f>
        <v>1561355</v>
      </c>
      <c r="G52" s="2">
        <f t="shared" si="7"/>
        <v>1673151</v>
      </c>
      <c r="H52" s="2">
        <f t="shared" si="7"/>
        <v>1618159</v>
      </c>
      <c r="I52" s="2">
        <f t="shared" si="7"/>
        <v>1662247</v>
      </c>
      <c r="J52" s="2">
        <f t="shared" si="7"/>
        <v>2299802</v>
      </c>
      <c r="K52" s="2">
        <f t="shared" si="7"/>
        <v>2401779</v>
      </c>
      <c r="L52" s="2">
        <f t="shared" si="7"/>
        <v>2469080</v>
      </c>
      <c r="M52" s="2">
        <f t="shared" si="7"/>
        <v>3438064</v>
      </c>
      <c r="N52" s="2">
        <f t="shared" si="7"/>
        <v>4390180</v>
      </c>
      <c r="O52" s="2">
        <f t="shared" si="7"/>
        <v>4201295</v>
      </c>
      <c r="P52" s="2">
        <f t="shared" si="7"/>
        <v>4281639</v>
      </c>
      <c r="Q52" s="2">
        <f t="shared" si="7"/>
        <v>5068979</v>
      </c>
      <c r="R52" s="2">
        <f t="shared" si="7"/>
        <v>4930404</v>
      </c>
    </row>
    <row r="53" spans="1:18">
      <c r="A53" s="523"/>
      <c r="C53" t="s">
        <v>936</v>
      </c>
      <c r="F53" s="2"/>
      <c r="G53" s="2"/>
      <c r="H53" s="2"/>
      <c r="I53" s="2"/>
      <c r="J53" s="2"/>
      <c r="K53" s="2"/>
      <c r="L53" s="2"/>
      <c r="M53" s="2"/>
      <c r="N53" s="2">
        <v>11610</v>
      </c>
      <c r="O53" s="2">
        <f>981+2356</f>
        <v>3337</v>
      </c>
      <c r="P53">
        <f>1079+1410</f>
        <v>2489</v>
      </c>
      <c r="Q53" s="2">
        <f>1098+607</f>
        <v>1705</v>
      </c>
      <c r="R53" s="2">
        <f>997-99</f>
        <v>898</v>
      </c>
    </row>
    <row r="54" spans="1:18" ht="13.5" thickBot="1">
      <c r="A54" s="523"/>
      <c r="C54" s="1" t="s">
        <v>165</v>
      </c>
      <c r="F54" s="577">
        <f t="shared" ref="F54:R54" si="8">F39+F44+F52+F53</f>
        <v>2271673</v>
      </c>
      <c r="G54" s="577">
        <f t="shared" si="8"/>
        <v>2366460</v>
      </c>
      <c r="H54" s="577">
        <f t="shared" si="8"/>
        <v>2650055</v>
      </c>
      <c r="I54" s="577">
        <f t="shared" si="8"/>
        <v>2632495</v>
      </c>
      <c r="J54" s="577">
        <f t="shared" si="8"/>
        <v>4026903</v>
      </c>
      <c r="K54" s="577">
        <f t="shared" si="8"/>
        <v>4145727</v>
      </c>
      <c r="L54" s="577">
        <f t="shared" si="8"/>
        <v>4348625</v>
      </c>
      <c r="M54" s="577">
        <f t="shared" si="8"/>
        <v>5385442</v>
      </c>
      <c r="N54" s="577">
        <f t="shared" si="8"/>
        <v>6708791</v>
      </c>
      <c r="O54" s="577">
        <f t="shared" si="8"/>
        <v>7197688</v>
      </c>
      <c r="P54" s="577">
        <f t="shared" si="8"/>
        <v>7177268</v>
      </c>
      <c r="Q54" s="577">
        <f t="shared" si="8"/>
        <v>8715599</v>
      </c>
      <c r="R54" s="577">
        <f t="shared" si="8"/>
        <v>8459973</v>
      </c>
    </row>
    <row r="55" spans="1:18" ht="13.5" thickTop="1">
      <c r="A55" s="685"/>
      <c r="B55" s="633"/>
      <c r="C55" s="637" t="s">
        <v>937</v>
      </c>
      <c r="D55" s="638"/>
      <c r="E55" s="639"/>
      <c r="F55" s="14">
        <f>F26-F54</f>
        <v>0</v>
      </c>
      <c r="G55" s="14">
        <f t="shared" ref="G55:R55" si="9">G26-G54</f>
        <v>0</v>
      </c>
      <c r="H55" s="14">
        <f t="shared" si="9"/>
        <v>0</v>
      </c>
      <c r="I55" s="14">
        <f t="shared" si="9"/>
        <v>0</v>
      </c>
      <c r="J55" s="14">
        <f t="shared" si="9"/>
        <v>0</v>
      </c>
      <c r="K55" s="14">
        <f t="shared" si="9"/>
        <v>0</v>
      </c>
      <c r="L55" s="14">
        <f t="shared" si="9"/>
        <v>0</v>
      </c>
      <c r="M55" s="14">
        <f t="shared" si="9"/>
        <v>0</v>
      </c>
      <c r="N55" s="14">
        <f t="shared" si="9"/>
        <v>0</v>
      </c>
      <c r="O55" s="14">
        <f t="shared" si="9"/>
        <v>0</v>
      </c>
      <c r="P55" s="14">
        <f t="shared" si="9"/>
        <v>0</v>
      </c>
      <c r="Q55" s="14">
        <f t="shared" si="9"/>
        <v>0</v>
      </c>
      <c r="R55" s="14">
        <f t="shared" si="9"/>
        <v>0</v>
      </c>
    </row>
    <row r="56" spans="1:18">
      <c r="A56" s="686"/>
      <c r="B56" s="640"/>
      <c r="C56" s="641" t="s">
        <v>193</v>
      </c>
      <c r="D56" s="642"/>
      <c r="E56" s="642"/>
      <c r="F56" s="14"/>
      <c r="G56" s="14"/>
      <c r="H56" s="14"/>
      <c r="I56" s="14"/>
      <c r="J56" s="14"/>
      <c r="K56" s="14"/>
      <c r="L56" s="14"/>
      <c r="M56" s="14"/>
      <c r="N56" s="14"/>
      <c r="O56" s="14"/>
      <c r="P56" s="14"/>
      <c r="Q56" s="14"/>
      <c r="R56" s="14"/>
    </row>
    <row r="57" spans="1:18">
      <c r="A57" s="687" t="s">
        <v>319</v>
      </c>
      <c r="B57" s="3" t="s">
        <v>320</v>
      </c>
      <c r="C57" s="643" t="s">
        <v>18</v>
      </c>
      <c r="D57" s="644"/>
      <c r="E57" s="645"/>
      <c r="F57" s="646">
        <v>1999</v>
      </c>
      <c r="G57" s="646">
        <f t="shared" ref="G57:L57" si="10">F57+1</f>
        <v>2000</v>
      </c>
      <c r="H57" s="646">
        <f t="shared" si="10"/>
        <v>2001</v>
      </c>
      <c r="I57" s="646">
        <f t="shared" si="10"/>
        <v>2002</v>
      </c>
      <c r="J57" s="646">
        <f t="shared" si="10"/>
        <v>2003</v>
      </c>
      <c r="K57" s="646">
        <f t="shared" si="10"/>
        <v>2004</v>
      </c>
      <c r="L57" s="646">
        <f t="shared" si="10"/>
        <v>2005</v>
      </c>
      <c r="M57" s="646">
        <v>2006</v>
      </c>
      <c r="N57" s="646">
        <v>2007</v>
      </c>
      <c r="O57" s="646">
        <v>2008</v>
      </c>
      <c r="P57" s="646">
        <v>2009</v>
      </c>
      <c r="Q57" s="647">
        <f>P57+1</f>
        <v>2010</v>
      </c>
      <c r="R57" s="647">
        <f>Q57+1</f>
        <v>2011</v>
      </c>
    </row>
    <row r="58" spans="1:18">
      <c r="A58" s="523">
        <v>1000</v>
      </c>
      <c r="C58" t="s">
        <v>133</v>
      </c>
      <c r="F58" s="583">
        <v>93759</v>
      </c>
      <c r="G58" s="583">
        <v>33562</v>
      </c>
      <c r="H58" s="583">
        <v>52829</v>
      </c>
      <c r="I58" s="583">
        <v>9962</v>
      </c>
      <c r="J58" s="583">
        <v>55337</v>
      </c>
      <c r="K58" s="583">
        <v>104262</v>
      </c>
      <c r="L58" s="583">
        <v>40827</v>
      </c>
      <c r="M58" s="583"/>
      <c r="N58" s="583">
        <v>44755</v>
      </c>
      <c r="O58" s="583">
        <v>71742</v>
      </c>
      <c r="P58" s="583">
        <v>47877</v>
      </c>
      <c r="Q58" s="583">
        <v>54394</v>
      </c>
      <c r="R58" s="583">
        <v>368191</v>
      </c>
    </row>
    <row r="59" spans="1:18">
      <c r="A59" s="523">
        <v>1100</v>
      </c>
      <c r="C59" t="s">
        <v>135</v>
      </c>
      <c r="F59" s="583">
        <v>82784</v>
      </c>
      <c r="G59" s="583">
        <v>95020</v>
      </c>
      <c r="H59" s="583">
        <v>182656</v>
      </c>
      <c r="I59" s="583">
        <v>153665</v>
      </c>
      <c r="J59" s="583">
        <v>209728</v>
      </c>
      <c r="K59" s="583">
        <v>212902</v>
      </c>
      <c r="L59" s="583">
        <v>289735</v>
      </c>
      <c r="M59" s="583">
        <v>234422</v>
      </c>
      <c r="N59" s="583">
        <v>221702</v>
      </c>
      <c r="O59" s="583">
        <v>471134</v>
      </c>
      <c r="P59" s="583">
        <v>188156</v>
      </c>
      <c r="Q59" s="583">
        <v>199114</v>
      </c>
      <c r="R59" s="583">
        <v>240885</v>
      </c>
    </row>
    <row r="60" spans="1:18">
      <c r="A60" s="523">
        <v>1200</v>
      </c>
      <c r="C60" t="s">
        <v>671</v>
      </c>
      <c r="F60" s="583">
        <v>2720</v>
      </c>
      <c r="G60" s="583">
        <v>2509</v>
      </c>
      <c r="H60" s="583">
        <v>2744</v>
      </c>
      <c r="I60" s="583">
        <v>2908</v>
      </c>
      <c r="J60" s="583">
        <v>2884</v>
      </c>
      <c r="K60" s="583">
        <v>3140</v>
      </c>
      <c r="L60" s="583">
        <v>3378</v>
      </c>
      <c r="M60" s="583"/>
      <c r="N60" s="583">
        <v>10965</v>
      </c>
      <c r="O60" s="583">
        <v>8251</v>
      </c>
      <c r="P60" s="583">
        <v>7299</v>
      </c>
      <c r="Q60" s="583">
        <v>6029</v>
      </c>
      <c r="R60" s="583">
        <v>3333</v>
      </c>
    </row>
    <row r="61" spans="1:18">
      <c r="A61" s="523"/>
      <c r="C61" t="s">
        <v>144</v>
      </c>
      <c r="F61" s="583"/>
      <c r="G61" s="583"/>
      <c r="H61" s="583"/>
      <c r="I61" s="583"/>
      <c r="J61" s="583"/>
      <c r="K61" s="583"/>
      <c r="L61" s="583"/>
      <c r="M61" s="583"/>
      <c r="N61" s="583"/>
      <c r="O61" s="583"/>
      <c r="P61" s="583"/>
      <c r="Q61" s="583">
        <v>683</v>
      </c>
      <c r="R61" s="583">
        <v>632</v>
      </c>
    </row>
    <row r="62" spans="1:18">
      <c r="A62" s="523">
        <v>1250</v>
      </c>
      <c r="C62" t="s">
        <v>145</v>
      </c>
      <c r="F62" s="583"/>
      <c r="G62" s="583">
        <v>7608</v>
      </c>
      <c r="H62" s="583">
        <v>8519</v>
      </c>
      <c r="I62" s="583">
        <v>18505</v>
      </c>
      <c r="J62" s="583">
        <v>12135</v>
      </c>
      <c r="K62" s="583">
        <v>0</v>
      </c>
      <c r="L62" s="583">
        <v>0</v>
      </c>
      <c r="M62" s="583"/>
      <c r="N62" s="583">
        <v>8548</v>
      </c>
      <c r="O62" s="583">
        <v>8045</v>
      </c>
      <c r="P62" s="585"/>
      <c r="Q62" s="583"/>
      <c r="R62" s="583"/>
    </row>
    <row r="63" spans="1:18">
      <c r="A63" s="523">
        <v>1130</v>
      </c>
      <c r="C63" t="s">
        <v>147</v>
      </c>
      <c r="F63" s="583"/>
      <c r="G63" s="583"/>
      <c r="H63" s="583"/>
      <c r="I63" s="583"/>
      <c r="J63" s="583"/>
      <c r="K63" s="583"/>
      <c r="L63" s="583"/>
      <c r="M63" s="583"/>
      <c r="N63" s="583"/>
      <c r="O63" s="583">
        <v>7984</v>
      </c>
      <c r="P63" s="583">
        <v>10519</v>
      </c>
      <c r="Q63" s="583">
        <v>350</v>
      </c>
      <c r="R63" s="583">
        <v>1888</v>
      </c>
    </row>
    <row r="64" spans="1:18">
      <c r="A64" s="523">
        <v>1810</v>
      </c>
      <c r="C64" t="s">
        <v>148</v>
      </c>
      <c r="F64" s="583">
        <v>24</v>
      </c>
      <c r="G64" s="583">
        <f>24+3594</f>
        <v>3618</v>
      </c>
      <c r="H64" s="583">
        <v>7093</v>
      </c>
      <c r="I64" s="583">
        <v>8562</v>
      </c>
      <c r="J64" s="583">
        <f>5975+1162</f>
        <v>7137</v>
      </c>
      <c r="K64" s="583">
        <f>15754+1890</f>
        <v>17644</v>
      </c>
      <c r="L64" s="583">
        <v>27497</v>
      </c>
      <c r="M64" s="583">
        <f>16119+716</f>
        <v>16835</v>
      </c>
      <c r="N64" s="583"/>
      <c r="O64" s="585"/>
      <c r="P64" s="585"/>
      <c r="Q64" s="583"/>
      <c r="R64" s="583"/>
    </row>
    <row r="65" spans="1:19">
      <c r="A65" s="523">
        <v>1700</v>
      </c>
      <c r="C65" t="s">
        <v>150</v>
      </c>
      <c r="F65" s="583"/>
      <c r="G65" s="583"/>
      <c r="H65" s="583"/>
      <c r="I65" s="583"/>
      <c r="J65" s="583">
        <v>4804</v>
      </c>
      <c r="K65" s="583">
        <v>9282</v>
      </c>
      <c r="L65" s="583">
        <v>10230</v>
      </c>
      <c r="M65" s="583">
        <v>254930</v>
      </c>
      <c r="N65" s="583">
        <v>609</v>
      </c>
      <c r="O65" s="583">
        <v>729</v>
      </c>
      <c r="P65" s="585"/>
      <c r="Q65" s="583"/>
      <c r="R65" s="583"/>
    </row>
    <row r="66" spans="1:19">
      <c r="A66" s="523">
        <v>1760</v>
      </c>
      <c r="C66" s="491" t="s">
        <v>938</v>
      </c>
      <c r="D66" s="491"/>
      <c r="E66" s="491"/>
      <c r="F66" s="583"/>
      <c r="G66" s="583"/>
      <c r="H66" s="583"/>
      <c r="I66" s="583"/>
      <c r="J66" s="583"/>
      <c r="K66" s="583"/>
      <c r="L66" s="583"/>
      <c r="M66" s="583">
        <f>M408</f>
        <v>0</v>
      </c>
      <c r="N66" s="583">
        <f>N422</f>
        <v>0</v>
      </c>
      <c r="O66" s="583">
        <f>O422</f>
        <v>0</v>
      </c>
      <c r="P66" s="583">
        <f>P422</f>
        <v>0</v>
      </c>
      <c r="Q66" s="583">
        <f>Q422</f>
        <v>0</v>
      </c>
      <c r="R66" s="583">
        <f>R422</f>
        <v>0</v>
      </c>
    </row>
    <row r="67" spans="1:19">
      <c r="A67" s="523">
        <v>1750</v>
      </c>
      <c r="C67" t="s">
        <v>202</v>
      </c>
      <c r="F67" s="583"/>
      <c r="G67" s="583"/>
      <c r="H67" s="583"/>
      <c r="I67" s="583"/>
      <c r="J67" s="585"/>
      <c r="K67" s="585"/>
      <c r="L67" s="585"/>
      <c r="M67" s="585"/>
      <c r="N67" s="585"/>
      <c r="O67" s="585"/>
      <c r="P67" s="585"/>
      <c r="Q67" s="583"/>
      <c r="R67" s="583"/>
    </row>
    <row r="68" spans="1:19">
      <c r="A68" s="523">
        <v>1800</v>
      </c>
      <c r="C68" t="s">
        <v>322</v>
      </c>
      <c r="F68" s="584">
        <v>17079</v>
      </c>
      <c r="G68" s="584">
        <v>24826</v>
      </c>
      <c r="H68" s="584">
        <v>22846</v>
      </c>
      <c r="I68" s="584">
        <v>52417</v>
      </c>
      <c r="J68" s="584">
        <v>45020</v>
      </c>
      <c r="K68" s="584">
        <v>37658</v>
      </c>
      <c r="L68" s="584">
        <v>30035</v>
      </c>
      <c r="M68" s="584"/>
      <c r="N68" s="584"/>
      <c r="O68" s="584"/>
      <c r="P68" s="589"/>
      <c r="Q68" s="584"/>
      <c r="R68" s="584"/>
    </row>
    <row r="69" spans="1:19">
      <c r="A69" s="523"/>
      <c r="F69" s="583">
        <f t="shared" ref="F69:R69" si="11">SUM(F58:F68)</f>
        <v>196366</v>
      </c>
      <c r="G69" s="583">
        <f t="shared" si="11"/>
        <v>167143</v>
      </c>
      <c r="H69" s="583">
        <f t="shared" si="11"/>
        <v>276687</v>
      </c>
      <c r="I69" s="583">
        <f t="shared" si="11"/>
        <v>246019</v>
      </c>
      <c r="J69" s="583">
        <f t="shared" si="11"/>
        <v>337045</v>
      </c>
      <c r="K69" s="583">
        <f t="shared" si="11"/>
        <v>384888</v>
      </c>
      <c r="L69" s="583">
        <f t="shared" si="11"/>
        <v>401702</v>
      </c>
      <c r="M69" s="583">
        <f t="shared" si="11"/>
        <v>506187</v>
      </c>
      <c r="N69" s="583">
        <f t="shared" si="11"/>
        <v>286579</v>
      </c>
      <c r="O69" s="583">
        <f t="shared" si="11"/>
        <v>567885</v>
      </c>
      <c r="P69" s="583">
        <f t="shared" si="11"/>
        <v>253851</v>
      </c>
      <c r="Q69" s="583">
        <f t="shared" si="11"/>
        <v>260570</v>
      </c>
      <c r="R69" s="583">
        <f t="shared" si="11"/>
        <v>614929</v>
      </c>
    </row>
    <row r="70" spans="1:19">
      <c r="A70" s="523"/>
      <c r="C70" t="s">
        <v>143</v>
      </c>
      <c r="F70" s="583"/>
      <c r="G70" s="583"/>
      <c r="H70" s="583"/>
      <c r="I70" s="583"/>
      <c r="J70" s="583"/>
      <c r="K70" s="583"/>
      <c r="L70" s="583"/>
      <c r="M70" s="583"/>
      <c r="N70" s="583"/>
      <c r="O70" s="583"/>
      <c r="P70" s="585"/>
      <c r="Q70" s="583">
        <v>4984</v>
      </c>
      <c r="R70" s="583">
        <v>4895</v>
      </c>
    </row>
    <row r="71" spans="1:19">
      <c r="A71" s="523">
        <v>1700</v>
      </c>
      <c r="C71" t="s">
        <v>139</v>
      </c>
      <c r="F71" s="583"/>
      <c r="G71" s="583"/>
      <c r="H71" s="583"/>
      <c r="I71" s="583"/>
      <c r="J71" s="583"/>
      <c r="K71" s="583"/>
      <c r="L71" s="583"/>
      <c r="M71" s="583"/>
      <c r="N71" s="583"/>
      <c r="O71" s="583"/>
      <c r="P71" s="585"/>
      <c r="Q71" s="583"/>
      <c r="R71" s="583"/>
    </row>
    <row r="72" spans="1:19">
      <c r="A72" s="523">
        <v>1820</v>
      </c>
      <c r="C72" t="s">
        <v>153</v>
      </c>
      <c r="F72" s="583"/>
      <c r="G72" s="583"/>
      <c r="H72" s="583"/>
      <c r="I72" s="583"/>
      <c r="J72" s="583"/>
      <c r="K72" s="583"/>
      <c r="L72" s="583"/>
      <c r="M72" s="583"/>
      <c r="N72" s="583">
        <v>16567</v>
      </c>
      <c r="O72" s="583">
        <v>11780</v>
      </c>
      <c r="P72" s="585">
        <v>6993</v>
      </c>
      <c r="Q72" s="583">
        <v>6077</v>
      </c>
      <c r="R72" s="583">
        <v>6065</v>
      </c>
    </row>
    <row r="73" spans="1:19">
      <c r="A73" s="523">
        <v>1810</v>
      </c>
      <c r="C73" t="s">
        <v>154</v>
      </c>
      <c r="F73" s="583"/>
      <c r="G73" s="583"/>
      <c r="H73" s="583"/>
      <c r="I73" s="583"/>
      <c r="J73" s="583"/>
      <c r="K73" s="583"/>
      <c r="L73" s="583"/>
      <c r="M73" s="583"/>
      <c r="N73" s="583"/>
      <c r="O73" s="583">
        <v>2811</v>
      </c>
      <c r="P73" s="585">
        <v>2211</v>
      </c>
      <c r="Q73" s="583">
        <v>294</v>
      </c>
      <c r="R73" s="583">
        <v>4402</v>
      </c>
    </row>
    <row r="74" spans="1:19">
      <c r="A74" s="523"/>
      <c r="C74" t="s">
        <v>200</v>
      </c>
      <c r="F74" s="583"/>
      <c r="G74" s="583"/>
      <c r="H74" s="583"/>
      <c r="I74" s="583"/>
      <c r="J74" s="583"/>
      <c r="K74" s="583"/>
      <c r="L74" s="583"/>
      <c r="M74" s="583"/>
      <c r="N74" s="583"/>
      <c r="O74" s="583"/>
      <c r="P74" s="583"/>
      <c r="Q74" s="583"/>
      <c r="R74" s="583"/>
      <c r="S74" s="14"/>
    </row>
    <row r="75" spans="1:19">
      <c r="A75" s="523">
        <v>1730</v>
      </c>
      <c r="C75" t="s">
        <v>202</v>
      </c>
      <c r="F75" s="583"/>
      <c r="G75" s="583"/>
      <c r="H75" s="583"/>
      <c r="I75" s="583"/>
      <c r="J75" s="583">
        <v>195489</v>
      </c>
      <c r="K75" s="583">
        <v>179537</v>
      </c>
      <c r="L75" s="583">
        <v>150711</v>
      </c>
      <c r="M75" s="583">
        <v>26594</v>
      </c>
      <c r="N75" s="583">
        <v>49592</v>
      </c>
      <c r="O75" s="583">
        <v>42358</v>
      </c>
      <c r="P75" s="583">
        <v>43633</v>
      </c>
      <c r="Q75" s="583">
        <v>50053</v>
      </c>
      <c r="R75" s="583">
        <v>46930</v>
      </c>
    </row>
    <row r="76" spans="1:19">
      <c r="A76" s="523">
        <v>1780</v>
      </c>
      <c r="C76" t="s">
        <v>156</v>
      </c>
      <c r="F76" s="583"/>
      <c r="G76" s="583"/>
      <c r="H76" s="583"/>
      <c r="I76" s="583"/>
      <c r="J76" s="583"/>
      <c r="K76" s="583"/>
      <c r="L76" s="583"/>
      <c r="M76" s="583">
        <v>132</v>
      </c>
      <c r="N76" s="583">
        <v>37</v>
      </c>
      <c r="O76" s="583">
        <v>1122</v>
      </c>
      <c r="P76" s="583">
        <v>449</v>
      </c>
      <c r="Q76" s="583">
        <v>3399</v>
      </c>
      <c r="R76" s="583">
        <v>7947</v>
      </c>
    </row>
    <row r="77" spans="1:19">
      <c r="A77" s="523">
        <v>1620</v>
      </c>
      <c r="C77" s="1" t="s">
        <v>939</v>
      </c>
      <c r="F77" s="583">
        <f>F140</f>
        <v>2089995</v>
      </c>
      <c r="G77" s="583">
        <f t="shared" ref="G77:R77" si="12">G140</f>
        <v>2183976</v>
      </c>
      <c r="H77" s="583">
        <f t="shared" si="12"/>
        <v>2212190</v>
      </c>
      <c r="I77" s="583">
        <f t="shared" si="12"/>
        <v>2428180</v>
      </c>
      <c r="J77" s="583">
        <f t="shared" si="12"/>
        <v>2733537</v>
      </c>
      <c r="K77" s="583">
        <f t="shared" si="12"/>
        <v>2799902</v>
      </c>
      <c r="L77" s="583">
        <f t="shared" si="12"/>
        <v>3223239</v>
      </c>
      <c r="M77" s="583">
        <f t="shared" si="12"/>
        <v>2271337</v>
      </c>
      <c r="N77" s="583">
        <f t="shared" si="12"/>
        <v>2336535</v>
      </c>
      <c r="O77" s="583">
        <f t="shared" si="12"/>
        <v>2373603</v>
      </c>
      <c r="P77" s="583">
        <f t="shared" si="12"/>
        <v>2462228</v>
      </c>
      <c r="Q77" s="583">
        <f t="shared" si="12"/>
        <v>2871343</v>
      </c>
      <c r="R77" s="583">
        <f t="shared" si="12"/>
        <v>2293076</v>
      </c>
    </row>
    <row r="78" spans="1:19">
      <c r="A78" s="523">
        <v>1510</v>
      </c>
      <c r="C78" t="s">
        <v>940</v>
      </c>
      <c r="F78" s="583">
        <f t="shared" ref="F78:R80" si="13">F141</f>
        <v>0</v>
      </c>
      <c r="G78" s="583">
        <f t="shared" si="13"/>
        <v>77813</v>
      </c>
      <c r="H78" s="583">
        <f t="shared" si="13"/>
        <v>77813</v>
      </c>
      <c r="I78" s="583">
        <f t="shared" si="13"/>
        <v>77802</v>
      </c>
      <c r="J78" s="583">
        <f t="shared" si="13"/>
        <v>677802</v>
      </c>
      <c r="K78" s="583">
        <f t="shared" si="13"/>
        <v>677802</v>
      </c>
      <c r="L78" s="583">
        <f t="shared" si="13"/>
        <v>677802</v>
      </c>
      <c r="M78" s="583">
        <f t="shared" si="13"/>
        <v>2477802</v>
      </c>
      <c r="N78" s="583">
        <f t="shared" si="13"/>
        <v>3932802</v>
      </c>
      <c r="O78" s="583">
        <f t="shared" si="13"/>
        <v>3932802</v>
      </c>
      <c r="P78" s="583">
        <f t="shared" si="13"/>
        <v>3932802</v>
      </c>
      <c r="Q78" s="583">
        <f t="shared" si="13"/>
        <v>5146465</v>
      </c>
      <c r="R78" s="583">
        <f t="shared" si="13"/>
        <v>5276138</v>
      </c>
    </row>
    <row r="79" spans="1:19">
      <c r="A79" s="523">
        <v>1510</v>
      </c>
      <c r="C79" t="s">
        <v>941</v>
      </c>
      <c r="F79" s="583">
        <f t="shared" si="13"/>
        <v>0</v>
      </c>
      <c r="G79" s="583">
        <f t="shared" si="13"/>
        <v>-77813</v>
      </c>
      <c r="H79" s="583">
        <f t="shared" si="13"/>
        <v>-77813</v>
      </c>
      <c r="I79" s="583">
        <f t="shared" si="13"/>
        <v>-77802</v>
      </c>
      <c r="J79" s="583">
        <f t="shared" si="13"/>
        <v>-677802</v>
      </c>
      <c r="K79" s="583">
        <f t="shared" si="13"/>
        <v>-677802</v>
      </c>
      <c r="L79" s="583">
        <f t="shared" si="13"/>
        <v>-677802</v>
      </c>
      <c r="M79" s="583">
        <f t="shared" si="13"/>
        <v>-2477802</v>
      </c>
      <c r="N79" s="583">
        <f t="shared" si="13"/>
        <v>-3932802</v>
      </c>
      <c r="O79" s="583">
        <f t="shared" si="13"/>
        <v>-3932802</v>
      </c>
      <c r="P79" s="583">
        <f t="shared" si="13"/>
        <v>-3932802</v>
      </c>
      <c r="Q79" s="583">
        <f t="shared" si="13"/>
        <v>-5146465</v>
      </c>
      <c r="R79" s="583">
        <f t="shared" si="13"/>
        <v>-5276138</v>
      </c>
    </row>
    <row r="80" spans="1:19">
      <c r="A80" s="523">
        <v>1520</v>
      </c>
      <c r="C80" t="s">
        <v>159</v>
      </c>
      <c r="F80" s="584">
        <f t="shared" si="13"/>
        <v>0</v>
      </c>
      <c r="G80" s="584">
        <f t="shared" si="13"/>
        <v>0</v>
      </c>
      <c r="H80" s="584">
        <f t="shared" si="13"/>
        <v>212544</v>
      </c>
      <c r="I80" s="584">
        <f t="shared" si="13"/>
        <v>52823</v>
      </c>
      <c r="J80" s="584">
        <f t="shared" si="13"/>
        <v>118126</v>
      </c>
      <c r="K80" s="584">
        <f t="shared" si="13"/>
        <v>215374</v>
      </c>
      <c r="L80" s="584">
        <f t="shared" si="13"/>
        <v>93643</v>
      </c>
      <c r="M80" s="584">
        <f t="shared" si="13"/>
        <v>94869</v>
      </c>
      <c r="N80" s="584">
        <f t="shared" si="13"/>
        <v>94932</v>
      </c>
      <c r="O80" s="584">
        <f t="shared" si="13"/>
        <v>309589</v>
      </c>
      <c r="P80" s="584">
        <f t="shared" si="13"/>
        <v>677980</v>
      </c>
      <c r="Q80" s="584">
        <f t="shared" si="13"/>
        <v>282322</v>
      </c>
      <c r="R80" s="584">
        <f t="shared" si="13"/>
        <v>273934</v>
      </c>
    </row>
    <row r="81" spans="1:19">
      <c r="A81" s="523"/>
      <c r="F81" s="583">
        <f t="shared" ref="F81:R81" si="14">SUM(F77:F80)</f>
        <v>2089995</v>
      </c>
      <c r="G81" s="583">
        <f t="shared" si="14"/>
        <v>2183976</v>
      </c>
      <c r="H81" s="583">
        <f t="shared" si="14"/>
        <v>2424734</v>
      </c>
      <c r="I81" s="583">
        <f t="shared" si="14"/>
        <v>2481003</v>
      </c>
      <c r="J81" s="583">
        <f t="shared" si="14"/>
        <v>2851663</v>
      </c>
      <c r="K81" s="583">
        <f t="shared" si="14"/>
        <v>3015276</v>
      </c>
      <c r="L81" s="583">
        <f t="shared" si="14"/>
        <v>3316882</v>
      </c>
      <c r="M81" s="583">
        <f t="shared" si="14"/>
        <v>2366206</v>
      </c>
      <c r="N81" s="583">
        <f t="shared" si="14"/>
        <v>2431467</v>
      </c>
      <c r="O81" s="583">
        <f t="shared" si="14"/>
        <v>2683192</v>
      </c>
      <c r="P81" s="583">
        <f t="shared" si="14"/>
        <v>3140208</v>
      </c>
      <c r="Q81" s="583">
        <f t="shared" si="14"/>
        <v>3153665</v>
      </c>
      <c r="R81" s="583">
        <f t="shared" si="14"/>
        <v>2567010</v>
      </c>
    </row>
    <row r="82" spans="1:19">
      <c r="A82" s="523">
        <v>1610</v>
      </c>
      <c r="C82" t="s">
        <v>935</v>
      </c>
      <c r="F82" s="583">
        <f>F145</f>
        <v>-14688</v>
      </c>
      <c r="G82" s="583">
        <f t="shared" ref="G82:R82" si="15">G145</f>
        <v>-62472</v>
      </c>
      <c r="H82" s="583">
        <f t="shared" si="15"/>
        <v>-129179</v>
      </c>
      <c r="I82" s="583">
        <f t="shared" si="15"/>
        <v>-172329</v>
      </c>
      <c r="J82" s="583">
        <f t="shared" si="15"/>
        <v>-35096</v>
      </c>
      <c r="K82" s="583">
        <f t="shared" si="15"/>
        <v>-111776</v>
      </c>
      <c r="L82" s="583">
        <f t="shared" si="15"/>
        <v>-198472</v>
      </c>
      <c r="M82" s="583">
        <f t="shared" si="15"/>
        <v>-52032.000000001877</v>
      </c>
      <c r="N82" s="583">
        <f t="shared" si="15"/>
        <v>-49196</v>
      </c>
      <c r="O82" s="583">
        <f t="shared" si="15"/>
        <v>-183404</v>
      </c>
      <c r="P82" s="583">
        <f t="shared" si="15"/>
        <v>-329895</v>
      </c>
      <c r="Q82" s="583">
        <f t="shared" si="15"/>
        <v>-92803</v>
      </c>
      <c r="R82" s="583">
        <f t="shared" si="15"/>
        <v>-122341</v>
      </c>
    </row>
    <row r="83" spans="1:19">
      <c r="A83" s="523">
        <v>1610</v>
      </c>
      <c r="C83" t="s">
        <v>942</v>
      </c>
      <c r="F83" s="583">
        <f t="shared" ref="F83:R83" si="16">F146</f>
        <v>0</v>
      </c>
      <c r="G83" s="583">
        <f t="shared" si="16"/>
        <v>-1992</v>
      </c>
      <c r="H83" s="583">
        <f t="shared" si="16"/>
        <v>-2065</v>
      </c>
      <c r="I83" s="583">
        <f t="shared" si="16"/>
        <v>200</v>
      </c>
      <c r="J83" s="583">
        <f t="shared" si="16"/>
        <v>-711</v>
      </c>
      <c r="K83" s="583">
        <f t="shared" si="16"/>
        <v>14200</v>
      </c>
      <c r="L83" s="583">
        <f t="shared" si="16"/>
        <v>28626</v>
      </c>
      <c r="M83" s="583">
        <f t="shared" si="16"/>
        <v>42255</v>
      </c>
      <c r="N83" s="583">
        <f t="shared" si="16"/>
        <v>83462</v>
      </c>
      <c r="O83" s="583">
        <f t="shared" si="16"/>
        <v>152618</v>
      </c>
      <c r="P83" s="583">
        <f t="shared" si="16"/>
        <v>222411</v>
      </c>
      <c r="Q83" s="583">
        <f t="shared" si="16"/>
        <v>310229</v>
      </c>
      <c r="R83" s="583">
        <f t="shared" si="16"/>
        <v>440853.02124999999</v>
      </c>
    </row>
    <row r="84" spans="1:19">
      <c r="A84" s="523"/>
      <c r="C84" t="s">
        <v>943</v>
      </c>
      <c r="F84" s="583">
        <f>+F82+F83</f>
        <v>-14688</v>
      </c>
      <c r="G84" s="583">
        <f t="shared" ref="G84:R84" si="17">+G82+G83</f>
        <v>-64464</v>
      </c>
      <c r="H84" s="583">
        <f t="shared" si="17"/>
        <v>-131244</v>
      </c>
      <c r="I84" s="583">
        <f t="shared" si="17"/>
        <v>-172129</v>
      </c>
      <c r="J84" s="583">
        <f t="shared" si="17"/>
        <v>-35807</v>
      </c>
      <c r="K84" s="583">
        <f t="shared" si="17"/>
        <v>-97576</v>
      </c>
      <c r="L84" s="583">
        <f t="shared" si="17"/>
        <v>-169846</v>
      </c>
      <c r="M84" s="583">
        <f t="shared" si="17"/>
        <v>-9777.0000000018772</v>
      </c>
      <c r="N84" s="583">
        <f t="shared" si="17"/>
        <v>34266</v>
      </c>
      <c r="O84" s="583">
        <f t="shared" si="17"/>
        <v>-30786</v>
      </c>
      <c r="P84" s="583">
        <f t="shared" si="17"/>
        <v>-107484</v>
      </c>
      <c r="Q84" s="583">
        <f t="shared" si="17"/>
        <v>217426</v>
      </c>
      <c r="R84" s="583">
        <f t="shared" si="17"/>
        <v>318512.02124999999</v>
      </c>
    </row>
    <row r="85" spans="1:19">
      <c r="A85" s="523">
        <v>1620</v>
      </c>
      <c r="C85" t="s">
        <v>164</v>
      </c>
      <c r="F85" s="584">
        <f>F81+F84</f>
        <v>2075307</v>
      </c>
      <c r="G85" s="584">
        <f t="shared" ref="G85:R85" si="18">G81+G84</f>
        <v>2119512</v>
      </c>
      <c r="H85" s="584">
        <f t="shared" si="18"/>
        <v>2293490</v>
      </c>
      <c r="I85" s="584">
        <f t="shared" si="18"/>
        <v>2308874</v>
      </c>
      <c r="J85" s="584">
        <f t="shared" si="18"/>
        <v>2815856</v>
      </c>
      <c r="K85" s="584">
        <f t="shared" si="18"/>
        <v>2917700</v>
      </c>
      <c r="L85" s="584">
        <f t="shared" si="18"/>
        <v>3147036</v>
      </c>
      <c r="M85" s="584">
        <f t="shared" si="18"/>
        <v>2356428.9999999981</v>
      </c>
      <c r="N85" s="584">
        <f t="shared" si="18"/>
        <v>2465733</v>
      </c>
      <c r="O85" s="584">
        <f t="shared" si="18"/>
        <v>2652406</v>
      </c>
      <c r="P85" s="584">
        <f t="shared" si="18"/>
        <v>3032724</v>
      </c>
      <c r="Q85" s="584">
        <f t="shared" si="18"/>
        <v>3371091</v>
      </c>
      <c r="R85" s="584">
        <f t="shared" si="18"/>
        <v>2885522.0212500002</v>
      </c>
    </row>
    <row r="86" spans="1:19" ht="13.5" thickBot="1">
      <c r="A86" s="523"/>
      <c r="C86" s="1" t="s">
        <v>165</v>
      </c>
      <c r="F86" s="591">
        <f t="shared" ref="F86:M86" si="19">F69+SUM(F70:F76)+F85</f>
        <v>2271673</v>
      </c>
      <c r="G86" s="591">
        <f t="shared" si="19"/>
        <v>2286655</v>
      </c>
      <c r="H86" s="591">
        <f t="shared" si="19"/>
        <v>2570177</v>
      </c>
      <c r="I86" s="591">
        <f t="shared" si="19"/>
        <v>2554893</v>
      </c>
      <c r="J86" s="591">
        <f t="shared" si="19"/>
        <v>3348390</v>
      </c>
      <c r="K86" s="591">
        <f t="shared" si="19"/>
        <v>3482125</v>
      </c>
      <c r="L86" s="591">
        <f t="shared" si="19"/>
        <v>3699449</v>
      </c>
      <c r="M86" s="591">
        <f t="shared" si="19"/>
        <v>2889341.9999999981</v>
      </c>
      <c r="N86" s="591">
        <f>N69+SUM(N71:N76)+N85</f>
        <v>2818508</v>
      </c>
      <c r="O86" s="591">
        <f>O69+SUM(O71:O76)+O85</f>
        <v>3278362</v>
      </c>
      <c r="P86" s="591">
        <f>P69+SUM(P71:P76)+P85</f>
        <v>3339861</v>
      </c>
      <c r="Q86" s="591">
        <f>Q69+SUM(Q70:Q76)+Q85</f>
        <v>3696468</v>
      </c>
      <c r="R86" s="591">
        <f>R69+SUM(R70:R76)+R85</f>
        <v>3570690.0212500002</v>
      </c>
      <c r="S86" s="14">
        <f>R86-Q86</f>
        <v>-125777.97874999978</v>
      </c>
    </row>
    <row r="87" spans="1:19" ht="13.5" thickTop="1">
      <c r="A87" s="688" t="s">
        <v>20</v>
      </c>
      <c r="B87" s="643"/>
      <c r="C87" s="645"/>
      <c r="D87" s="644"/>
      <c r="E87" s="644"/>
      <c r="F87" s="646">
        <v>1999</v>
      </c>
      <c r="G87" s="646">
        <f t="shared" ref="G87:L87" si="20">F87+1</f>
        <v>2000</v>
      </c>
      <c r="H87" s="646">
        <f t="shared" si="20"/>
        <v>2001</v>
      </c>
      <c r="I87" s="646">
        <f t="shared" si="20"/>
        <v>2002</v>
      </c>
      <c r="J87" s="646">
        <f t="shared" si="20"/>
        <v>2003</v>
      </c>
      <c r="K87" s="646">
        <f t="shared" si="20"/>
        <v>2004</v>
      </c>
      <c r="L87" s="646">
        <f t="shared" si="20"/>
        <v>2005</v>
      </c>
      <c r="M87" s="646">
        <v>2006</v>
      </c>
      <c r="N87" s="646">
        <v>2007</v>
      </c>
      <c r="O87" s="646">
        <v>2008</v>
      </c>
      <c r="P87" s="646">
        <v>2009</v>
      </c>
      <c r="Q87" s="647">
        <f>P87+1</f>
        <v>2010</v>
      </c>
      <c r="R87" s="647">
        <f>Q87+1</f>
        <v>2011</v>
      </c>
      <c r="S87" s="14"/>
    </row>
    <row r="88" spans="1:19">
      <c r="A88" s="523">
        <v>2040</v>
      </c>
      <c r="C88" t="s">
        <v>167</v>
      </c>
      <c r="F88" s="583">
        <v>41728</v>
      </c>
      <c r="G88" s="583">
        <v>64139</v>
      </c>
      <c r="H88" s="583">
        <v>102775</v>
      </c>
      <c r="I88" s="583">
        <v>7394</v>
      </c>
      <c r="J88" s="583">
        <v>22807</v>
      </c>
      <c r="K88" s="583">
        <v>38973</v>
      </c>
      <c r="L88" s="583">
        <v>37722</v>
      </c>
      <c r="M88" s="583"/>
      <c r="N88" s="583">
        <v>193707</v>
      </c>
      <c r="O88" s="583">
        <v>528900</v>
      </c>
      <c r="P88" s="592">
        <f>134421+6218+4353</f>
        <v>144992</v>
      </c>
      <c r="Q88" s="583">
        <f>11065+155636+4727</f>
        <v>171428</v>
      </c>
      <c r="R88" s="583">
        <f>16629+166937</f>
        <v>183566</v>
      </c>
    </row>
    <row r="89" spans="1:19">
      <c r="A89" s="523">
        <v>2100</v>
      </c>
      <c r="C89" t="s">
        <v>168</v>
      </c>
      <c r="F89" s="583">
        <v>1286</v>
      </c>
      <c r="G89" s="583">
        <v>2363</v>
      </c>
      <c r="H89" s="583">
        <v>3050</v>
      </c>
      <c r="I89" s="583">
        <v>2820</v>
      </c>
      <c r="J89" s="583">
        <v>6642</v>
      </c>
      <c r="K89" s="583">
        <v>5067</v>
      </c>
      <c r="L89" s="583">
        <v>6609</v>
      </c>
      <c r="M89" s="583"/>
      <c r="N89" s="583">
        <v>8592</v>
      </c>
      <c r="O89" s="583">
        <v>7116</v>
      </c>
      <c r="P89" s="583">
        <v>10595</v>
      </c>
      <c r="Q89" s="583">
        <v>14582</v>
      </c>
      <c r="R89" s="583">
        <v>16018</v>
      </c>
    </row>
    <row r="90" spans="1:19">
      <c r="A90" s="523">
        <v>2040</v>
      </c>
      <c r="C90" t="s">
        <v>169</v>
      </c>
      <c r="F90" s="583">
        <v>9352</v>
      </c>
      <c r="G90" s="583">
        <v>12420</v>
      </c>
      <c r="H90" s="583">
        <v>3900</v>
      </c>
      <c r="I90" s="583">
        <v>940</v>
      </c>
      <c r="J90" s="583">
        <v>22334</v>
      </c>
      <c r="K90" s="583">
        <v>47167</v>
      </c>
      <c r="L90" s="583">
        <v>57713</v>
      </c>
      <c r="M90" s="583"/>
      <c r="N90" s="583">
        <v>5603</v>
      </c>
      <c r="O90" s="583">
        <v>6038</v>
      </c>
      <c r="P90" s="583">
        <v>5163</v>
      </c>
      <c r="Q90" s="583">
        <v>4873</v>
      </c>
      <c r="R90" s="583">
        <v>4140</v>
      </c>
    </row>
    <row r="91" spans="1:19">
      <c r="A91" s="523">
        <v>2050</v>
      </c>
      <c r="C91" t="s">
        <v>172</v>
      </c>
      <c r="F91" s="583">
        <v>20877</v>
      </c>
      <c r="G91" s="583">
        <v>66726</v>
      </c>
      <c r="H91" s="583">
        <v>148717</v>
      </c>
      <c r="I91" s="583">
        <v>89198</v>
      </c>
      <c r="J91" s="583">
        <v>153040</v>
      </c>
      <c r="K91" s="583">
        <v>166865</v>
      </c>
      <c r="L91" s="583">
        <v>191539</v>
      </c>
      <c r="M91" s="583">
        <v>195221</v>
      </c>
      <c r="N91" s="583"/>
      <c r="O91" s="583"/>
      <c r="P91" s="585"/>
      <c r="Q91" s="583"/>
      <c r="R91" s="583"/>
    </row>
    <row r="92" spans="1:19">
      <c r="A92" s="523">
        <v>2060</v>
      </c>
      <c r="C92" t="s">
        <v>174</v>
      </c>
      <c r="F92" s="583">
        <v>4209</v>
      </c>
      <c r="G92" s="583">
        <v>1788</v>
      </c>
      <c r="H92" s="583">
        <v>5759</v>
      </c>
      <c r="I92" s="583">
        <v>1636</v>
      </c>
      <c r="J92" s="583">
        <v>886</v>
      </c>
      <c r="K92" s="583">
        <v>-3381</v>
      </c>
      <c r="L92" s="583">
        <v>5378</v>
      </c>
      <c r="M92" s="583"/>
      <c r="N92" s="583">
        <v>6478</v>
      </c>
      <c r="O92" s="583">
        <v>5510</v>
      </c>
      <c r="P92" s="583">
        <v>9722</v>
      </c>
      <c r="Q92" s="583">
        <v>10731</v>
      </c>
      <c r="R92" s="583">
        <v>13280</v>
      </c>
    </row>
    <row r="93" spans="1:19">
      <c r="A93" s="523">
        <v>2050</v>
      </c>
      <c r="C93" t="s">
        <v>175</v>
      </c>
      <c r="F93" s="583"/>
      <c r="G93" s="583"/>
      <c r="H93" s="583"/>
      <c r="I93" s="583"/>
      <c r="J93" s="583"/>
      <c r="K93" s="583"/>
      <c r="L93" s="583"/>
      <c r="M93" s="583"/>
      <c r="N93" s="583">
        <v>3440</v>
      </c>
      <c r="O93" s="583">
        <f>1940+138</f>
        <v>2078</v>
      </c>
      <c r="P93" s="592">
        <f>1372+194</f>
        <v>1566</v>
      </c>
      <c r="Q93" s="583">
        <f>736+15</f>
        <v>751</v>
      </c>
      <c r="R93" s="583">
        <v>94</v>
      </c>
    </row>
    <row r="94" spans="1:19">
      <c r="A94" s="523">
        <v>2370</v>
      </c>
      <c r="C94" s="491" t="s">
        <v>944</v>
      </c>
      <c r="D94" s="491"/>
      <c r="E94" s="491"/>
      <c r="F94" s="583"/>
      <c r="G94" s="583"/>
      <c r="H94" s="583"/>
      <c r="I94" s="583"/>
      <c r="J94" s="583"/>
      <c r="K94" s="583"/>
      <c r="L94" s="583"/>
      <c r="M94" s="583">
        <f>M405</f>
        <v>0</v>
      </c>
      <c r="N94" s="583">
        <f>N421</f>
        <v>0</v>
      </c>
      <c r="O94" s="583">
        <f>O421</f>
        <v>0</v>
      </c>
      <c r="P94" s="583">
        <f>P421</f>
        <v>0</v>
      </c>
      <c r="Q94" s="583">
        <f>Q421</f>
        <v>0</v>
      </c>
      <c r="R94" s="583">
        <f>R421</f>
        <v>0</v>
      </c>
    </row>
    <row r="95" spans="1:19">
      <c r="A95" s="523"/>
      <c r="C95" t="s">
        <v>176</v>
      </c>
      <c r="F95" s="583">
        <v>489</v>
      </c>
      <c r="G95" s="583"/>
      <c r="H95" s="583"/>
      <c r="I95" s="583"/>
      <c r="J95" s="583"/>
      <c r="K95" s="583">
        <v>2545</v>
      </c>
      <c r="L95" s="583">
        <v>2257</v>
      </c>
      <c r="M95" s="583"/>
      <c r="N95" s="583"/>
      <c r="O95" s="583"/>
      <c r="P95" s="583">
        <v>28041</v>
      </c>
      <c r="Q95" s="583">
        <v>31633</v>
      </c>
      <c r="R95" s="583">
        <v>36608</v>
      </c>
    </row>
    <row r="96" spans="1:19">
      <c r="A96" s="523">
        <v>2090</v>
      </c>
      <c r="C96" t="s">
        <v>178</v>
      </c>
      <c r="F96" s="583">
        <v>99952</v>
      </c>
      <c r="G96" s="583">
        <v>29393</v>
      </c>
      <c r="H96" s="583">
        <v>142479</v>
      </c>
      <c r="I96" s="583"/>
      <c r="J96" s="583"/>
      <c r="K96" s="583"/>
      <c r="L96" s="583"/>
      <c r="M96" s="583"/>
      <c r="N96" s="583"/>
      <c r="O96" s="583"/>
      <c r="P96" s="585"/>
      <c r="Q96" s="583"/>
      <c r="R96" s="583"/>
    </row>
    <row r="97" spans="1:19">
      <c r="A97" s="523">
        <v>2000</v>
      </c>
      <c r="C97" t="s">
        <v>179</v>
      </c>
      <c r="F97" s="584">
        <v>49500</v>
      </c>
      <c r="G97" s="584">
        <v>23198</v>
      </c>
      <c r="H97" s="584">
        <v>378371</v>
      </c>
      <c r="I97" s="584">
        <v>184731</v>
      </c>
      <c r="J97" s="584">
        <v>723098</v>
      </c>
      <c r="K97" s="584">
        <v>158310</v>
      </c>
      <c r="L97" s="584">
        <v>370141</v>
      </c>
      <c r="M97" s="584"/>
      <c r="N97" s="584"/>
      <c r="O97" s="584">
        <v>149808</v>
      </c>
      <c r="P97" s="584">
        <v>123166</v>
      </c>
      <c r="Q97" s="584">
        <v>284417</v>
      </c>
      <c r="R97" s="584">
        <v>298167</v>
      </c>
    </row>
    <row r="98" spans="1:19">
      <c r="A98" s="523"/>
      <c r="F98" s="583">
        <f t="shared" ref="F98:R98" si="21">SUM(F88:F97)</f>
        <v>227393</v>
      </c>
      <c r="G98" s="583">
        <f t="shared" si="21"/>
        <v>200027</v>
      </c>
      <c r="H98" s="583">
        <f t="shared" si="21"/>
        <v>785051</v>
      </c>
      <c r="I98" s="583">
        <f t="shared" si="21"/>
        <v>286719</v>
      </c>
      <c r="J98" s="583">
        <f t="shared" si="21"/>
        <v>928807</v>
      </c>
      <c r="K98" s="583">
        <f t="shared" si="21"/>
        <v>415546</v>
      </c>
      <c r="L98" s="583">
        <f t="shared" si="21"/>
        <v>671359</v>
      </c>
      <c r="M98" s="583">
        <f t="shared" si="21"/>
        <v>195221</v>
      </c>
      <c r="N98" s="583">
        <f t="shared" si="21"/>
        <v>217820</v>
      </c>
      <c r="O98" s="583">
        <f t="shared" si="21"/>
        <v>699450</v>
      </c>
      <c r="P98" s="583">
        <f t="shared" si="21"/>
        <v>323245</v>
      </c>
      <c r="Q98" s="583">
        <f t="shared" si="21"/>
        <v>518415</v>
      </c>
      <c r="R98" s="583">
        <f t="shared" si="21"/>
        <v>551873</v>
      </c>
    </row>
    <row r="99" spans="1:19">
      <c r="A99" s="523">
        <v>2710</v>
      </c>
      <c r="C99" t="s">
        <v>326</v>
      </c>
      <c r="F99" s="583">
        <f>+F40</f>
        <v>5014</v>
      </c>
      <c r="G99" s="583">
        <f t="shared" ref="G99:R99" si="22">+G40</f>
        <v>28728</v>
      </c>
      <c r="H99" s="583">
        <f t="shared" si="22"/>
        <v>66401</v>
      </c>
      <c r="I99" s="583">
        <f t="shared" si="22"/>
        <v>92031</v>
      </c>
      <c r="J99" s="583">
        <f t="shared" si="22"/>
        <v>138871</v>
      </c>
      <c r="K99" s="583">
        <f t="shared" si="22"/>
        <v>145260</v>
      </c>
      <c r="L99" s="583">
        <f t="shared" si="22"/>
        <v>179168</v>
      </c>
      <c r="M99" s="583">
        <f t="shared" si="22"/>
        <v>970959</v>
      </c>
      <c r="N99" s="583">
        <f t="shared" si="22"/>
        <v>1331772</v>
      </c>
      <c r="O99" s="583">
        <f t="shared" si="22"/>
        <v>1329478</v>
      </c>
      <c r="P99" s="583">
        <f t="shared" si="22"/>
        <v>1301231</v>
      </c>
      <c r="Q99" s="583">
        <f t="shared" si="22"/>
        <v>1559507</v>
      </c>
      <c r="R99" s="583">
        <f t="shared" si="22"/>
        <v>1412330</v>
      </c>
    </row>
    <row r="100" spans="1:19">
      <c r="A100" s="523">
        <v>2710</v>
      </c>
      <c r="C100" t="s">
        <v>945</v>
      </c>
      <c r="F100" s="583">
        <f>F334</f>
        <v>0</v>
      </c>
      <c r="G100" s="583">
        <f t="shared" ref="G100:R100" si="23">G334</f>
        <v>0</v>
      </c>
      <c r="H100" s="583">
        <f t="shared" si="23"/>
        <v>0</v>
      </c>
      <c r="I100" s="583">
        <f t="shared" si="23"/>
        <v>0</v>
      </c>
      <c r="J100" s="583">
        <f t="shared" si="23"/>
        <v>0</v>
      </c>
      <c r="K100" s="583">
        <f t="shared" si="23"/>
        <v>0</v>
      </c>
      <c r="L100" s="583">
        <f t="shared" si="23"/>
        <v>0</v>
      </c>
      <c r="M100" s="583">
        <f t="shared" si="23"/>
        <v>-693784.56</v>
      </c>
      <c r="N100" s="583">
        <f t="shared" si="23"/>
        <v>-1101184.56</v>
      </c>
      <c r="O100" s="583">
        <f t="shared" si="23"/>
        <v>-1101184.56</v>
      </c>
      <c r="P100" s="583">
        <f t="shared" si="23"/>
        <v>-1101184.56</v>
      </c>
      <c r="Q100" s="583">
        <f t="shared" si="23"/>
        <v>-1441010.2000000002</v>
      </c>
      <c r="R100" s="583">
        <f t="shared" si="23"/>
        <v>-1477318.6400000001</v>
      </c>
    </row>
    <row r="101" spans="1:19">
      <c r="A101" s="523">
        <v>2710</v>
      </c>
      <c r="C101" t="s">
        <v>946</v>
      </c>
      <c r="F101" s="583"/>
      <c r="G101" s="583"/>
      <c r="H101" s="583"/>
      <c r="I101" s="583"/>
      <c r="J101" s="583"/>
      <c r="K101" s="583"/>
      <c r="L101" s="583"/>
      <c r="M101" s="583"/>
      <c r="N101" s="583">
        <f>-N270</f>
        <v>113928</v>
      </c>
      <c r="O101" s="583">
        <f>N101</f>
        <v>113928</v>
      </c>
      <c r="P101" s="583">
        <f>O101</f>
        <v>113928</v>
      </c>
      <c r="Q101" s="583">
        <f>P101</f>
        <v>113928</v>
      </c>
      <c r="R101" s="583">
        <f>Q101</f>
        <v>113928</v>
      </c>
    </row>
    <row r="102" spans="1:19">
      <c r="A102" s="523">
        <v>2710</v>
      </c>
      <c r="C102" t="s">
        <v>947</v>
      </c>
      <c r="F102" s="583"/>
      <c r="G102" s="583"/>
      <c r="H102" s="583"/>
      <c r="I102" s="583"/>
      <c r="J102" s="583"/>
      <c r="K102" s="583"/>
      <c r="L102" s="583"/>
      <c r="M102" s="583"/>
      <c r="N102" s="583"/>
      <c r="O102" s="583"/>
      <c r="P102" s="583"/>
      <c r="Q102" s="583">
        <f>-Q270</f>
        <v>103270</v>
      </c>
      <c r="R102" s="583">
        <f>Q102</f>
        <v>103270</v>
      </c>
    </row>
    <row r="103" spans="1:19">
      <c r="A103" s="523">
        <v>2710</v>
      </c>
      <c r="C103" t="s">
        <v>948</v>
      </c>
      <c r="F103" s="583"/>
      <c r="G103" s="583"/>
      <c r="H103" s="583"/>
      <c r="I103" s="583"/>
      <c r="J103" s="583"/>
      <c r="K103" s="583"/>
      <c r="L103" s="583"/>
      <c r="M103" s="583"/>
      <c r="N103" s="583"/>
      <c r="O103" s="583"/>
      <c r="P103" s="583"/>
      <c r="Q103" s="583"/>
      <c r="R103" s="583">
        <f>-R270</f>
        <v>2610</v>
      </c>
    </row>
    <row r="104" spans="1:19">
      <c r="A104" s="523"/>
      <c r="C104" t="s">
        <v>949</v>
      </c>
      <c r="F104" s="583"/>
      <c r="G104" s="583"/>
      <c r="H104" s="583"/>
      <c r="I104" s="583"/>
      <c r="J104" s="583"/>
      <c r="K104" s="583"/>
      <c r="L104" s="583"/>
      <c r="M104" s="583"/>
      <c r="N104" s="583"/>
      <c r="O104" s="583"/>
      <c r="P104" s="583"/>
      <c r="Q104" s="583"/>
      <c r="R104" s="583"/>
    </row>
    <row r="105" spans="1:19">
      <c r="A105" s="523">
        <v>2710</v>
      </c>
      <c r="C105" t="s">
        <v>327</v>
      </c>
      <c r="F105" s="584"/>
      <c r="G105" s="584"/>
      <c r="H105" s="584"/>
      <c r="I105" s="584"/>
      <c r="J105" s="584"/>
      <c r="K105" s="584"/>
      <c r="L105" s="584"/>
      <c r="M105" s="584">
        <f>M256</f>
        <v>-22865</v>
      </c>
      <c r="N105" s="584"/>
      <c r="O105" s="584"/>
      <c r="P105" s="584"/>
      <c r="Q105" s="584">
        <f>Q274</f>
        <v>14748</v>
      </c>
      <c r="R105" s="584">
        <f>R274</f>
        <v>0</v>
      </c>
    </row>
    <row r="106" spans="1:19">
      <c r="A106" s="523"/>
      <c r="E106" t="s">
        <v>128</v>
      </c>
      <c r="F106" s="583">
        <f>SUM(F99:F105)</f>
        <v>5014</v>
      </c>
      <c r="G106" s="583">
        <f t="shared" ref="G106:R106" si="24">SUM(G99:G105)</f>
        <v>28728</v>
      </c>
      <c r="H106" s="583">
        <f t="shared" si="24"/>
        <v>66401</v>
      </c>
      <c r="I106" s="583">
        <f t="shared" si="24"/>
        <v>92031</v>
      </c>
      <c r="J106" s="583">
        <f t="shared" si="24"/>
        <v>138871</v>
      </c>
      <c r="K106" s="583">
        <f t="shared" si="24"/>
        <v>145260</v>
      </c>
      <c r="L106" s="583">
        <f t="shared" si="24"/>
        <v>179168</v>
      </c>
      <c r="M106" s="583">
        <f t="shared" si="24"/>
        <v>254309.43999999994</v>
      </c>
      <c r="N106" s="583">
        <f t="shared" si="24"/>
        <v>344515.43999999994</v>
      </c>
      <c r="O106" s="583">
        <f t="shared" si="24"/>
        <v>342221.43999999994</v>
      </c>
      <c r="P106" s="583">
        <f t="shared" si="24"/>
        <v>313974.43999999994</v>
      </c>
      <c r="Q106" s="583">
        <f t="shared" si="24"/>
        <v>350442.79999999981</v>
      </c>
      <c r="R106" s="583">
        <f t="shared" si="24"/>
        <v>154819.35999999987</v>
      </c>
    </row>
    <row r="107" spans="1:19">
      <c r="A107" s="523"/>
      <c r="C107" t="s">
        <v>200</v>
      </c>
      <c r="F107" s="583"/>
      <c r="G107" s="583"/>
      <c r="H107" s="583"/>
      <c r="I107" s="583"/>
      <c r="J107" s="583"/>
      <c r="K107" s="583"/>
      <c r="L107" s="583"/>
      <c r="M107" s="583"/>
      <c r="N107" s="583"/>
      <c r="O107" s="583"/>
      <c r="P107" s="592"/>
      <c r="Q107" s="583"/>
      <c r="R107" s="583"/>
      <c r="S107" s="14">
        <f>R94+R107</f>
        <v>0</v>
      </c>
    </row>
    <row r="108" spans="1:19">
      <c r="A108" s="523">
        <v>2680</v>
      </c>
      <c r="C108" t="s">
        <v>180</v>
      </c>
      <c r="F108" s="583"/>
      <c r="G108" s="583"/>
      <c r="H108" s="583"/>
      <c r="I108" s="583"/>
      <c r="J108" s="583"/>
      <c r="K108" s="583"/>
      <c r="L108" s="583"/>
      <c r="M108" s="583"/>
      <c r="N108" s="583"/>
      <c r="O108" s="583"/>
      <c r="P108" s="592"/>
      <c r="Q108" s="583">
        <v>52954</v>
      </c>
      <c r="R108" s="583">
        <v>35564</v>
      </c>
    </row>
    <row r="109" spans="1:19">
      <c r="A109" s="523">
        <v>2300</v>
      </c>
      <c r="C109" t="s">
        <v>182</v>
      </c>
      <c r="F109" s="584">
        <v>477911</v>
      </c>
      <c r="G109" s="584">
        <v>464554</v>
      </c>
      <c r="H109" s="584">
        <v>180444</v>
      </c>
      <c r="I109" s="584">
        <v>591498</v>
      </c>
      <c r="J109" s="584">
        <f>653178+6245</f>
        <v>659423</v>
      </c>
      <c r="K109" s="584">
        <f>1176566+6576</f>
        <v>1183142</v>
      </c>
      <c r="L109" s="584">
        <f>1021825+7193</f>
        <v>1029018</v>
      </c>
      <c r="M109" s="584">
        <v>760194</v>
      </c>
      <c r="N109" s="584">
        <v>629707</v>
      </c>
      <c r="O109" s="584">
        <v>793226</v>
      </c>
      <c r="P109" s="584">
        <v>1128695</v>
      </c>
      <c r="Q109" s="584">
        <v>1323058</v>
      </c>
      <c r="R109" s="584">
        <v>1275379</v>
      </c>
    </row>
    <row r="110" spans="1:19">
      <c r="A110" s="523"/>
      <c r="F110" s="583">
        <f t="shared" ref="F110:P110" si="25">SUM(F106:F109)</f>
        <v>482925</v>
      </c>
      <c r="G110" s="583">
        <f t="shared" si="25"/>
        <v>493282</v>
      </c>
      <c r="H110" s="583">
        <f t="shared" si="25"/>
        <v>246845</v>
      </c>
      <c r="I110" s="583">
        <f t="shared" si="25"/>
        <v>683529</v>
      </c>
      <c r="J110" s="583">
        <f t="shared" si="25"/>
        <v>798294</v>
      </c>
      <c r="K110" s="583">
        <f t="shared" si="25"/>
        <v>1328402</v>
      </c>
      <c r="L110" s="583">
        <f t="shared" si="25"/>
        <v>1208186</v>
      </c>
      <c r="M110" s="583">
        <f t="shared" si="25"/>
        <v>1014503.44</v>
      </c>
      <c r="N110" s="583">
        <f t="shared" si="25"/>
        <v>974222.44</v>
      </c>
      <c r="O110" s="583">
        <f t="shared" si="25"/>
        <v>1135447.44</v>
      </c>
      <c r="P110" s="583">
        <f t="shared" si="25"/>
        <v>1442669.44</v>
      </c>
      <c r="Q110" s="583">
        <f>SUM(Q106:Q109)</f>
        <v>1726454.7999999998</v>
      </c>
      <c r="R110" s="583">
        <f>SUM(R106:R109)</f>
        <v>1465762.3599999999</v>
      </c>
    </row>
    <row r="111" spans="1:19">
      <c r="A111" s="523"/>
      <c r="F111" s="583"/>
      <c r="G111" s="583"/>
      <c r="H111" s="583"/>
      <c r="I111" s="583"/>
      <c r="J111" s="583"/>
      <c r="K111" s="583"/>
      <c r="L111" s="583"/>
      <c r="M111" s="583"/>
      <c r="N111" s="583"/>
      <c r="O111" s="583"/>
      <c r="P111" s="585"/>
      <c r="Q111" s="583"/>
      <c r="R111" s="583"/>
    </row>
    <row r="112" spans="1:19">
      <c r="A112" s="523">
        <v>2800</v>
      </c>
      <c r="C112" t="s">
        <v>183</v>
      </c>
      <c r="F112" s="583">
        <v>1600000</v>
      </c>
      <c r="G112" s="583">
        <v>1600000</v>
      </c>
      <c r="H112" s="583">
        <v>1600000</v>
      </c>
      <c r="I112" s="583">
        <f>H112</f>
        <v>1600000</v>
      </c>
      <c r="J112" s="583">
        <v>1600000</v>
      </c>
      <c r="K112" s="583">
        <v>1600000</v>
      </c>
      <c r="L112" s="583">
        <v>1600000</v>
      </c>
      <c r="M112" s="583">
        <v>1600000</v>
      </c>
      <c r="N112" s="583">
        <v>1600000</v>
      </c>
      <c r="O112" s="583">
        <v>1600000</v>
      </c>
      <c r="P112" s="583">
        <v>1600000</v>
      </c>
      <c r="Q112" s="583">
        <v>1600000</v>
      </c>
      <c r="R112" s="583">
        <v>1600000</v>
      </c>
    </row>
    <row r="113" spans="1:19">
      <c r="A113" s="523"/>
      <c r="F113" s="583"/>
      <c r="G113" s="583"/>
      <c r="H113" s="583"/>
      <c r="I113" s="583"/>
      <c r="J113" s="583"/>
      <c r="K113" s="583"/>
      <c r="L113" s="583"/>
      <c r="M113" s="583"/>
      <c r="N113" s="583"/>
      <c r="O113" s="583"/>
      <c r="P113" s="583"/>
      <c r="Q113" s="583"/>
      <c r="R113" s="583"/>
    </row>
    <row r="114" spans="1:19">
      <c r="A114" s="523">
        <v>2830</v>
      </c>
      <c r="C114" t="s">
        <v>328</v>
      </c>
      <c r="F114" s="583">
        <v>0</v>
      </c>
      <c r="G114" s="583">
        <v>77813</v>
      </c>
      <c r="H114" s="583">
        <f>G114</f>
        <v>77813</v>
      </c>
      <c r="I114" s="583">
        <v>77802</v>
      </c>
      <c r="J114" s="583">
        <v>677802</v>
      </c>
      <c r="K114" s="583">
        <v>677802</v>
      </c>
      <c r="L114" s="583">
        <v>677802</v>
      </c>
      <c r="M114" s="583">
        <v>1652713</v>
      </c>
      <c r="N114" s="583">
        <v>2746509</v>
      </c>
      <c r="O114" s="583">
        <v>2737795</v>
      </c>
      <c r="P114" s="583">
        <v>2737092</v>
      </c>
      <c r="Q114" s="583">
        <v>3686651</v>
      </c>
      <c r="R114" s="583">
        <v>3392516</v>
      </c>
    </row>
    <row r="115" spans="1:19">
      <c r="A115" s="523">
        <v>2830</v>
      </c>
      <c r="C115" t="s">
        <v>950</v>
      </c>
      <c r="F115" s="583">
        <f>F114</f>
        <v>0</v>
      </c>
      <c r="G115" s="583">
        <f t="shared" ref="G115:L115" si="26">-G333</f>
        <v>-77813</v>
      </c>
      <c r="H115" s="583">
        <f t="shared" si="26"/>
        <v>-77813</v>
      </c>
      <c r="I115" s="583">
        <f t="shared" si="26"/>
        <v>-77802</v>
      </c>
      <c r="J115" s="583">
        <f t="shared" si="26"/>
        <v>-677802</v>
      </c>
      <c r="K115" s="583">
        <f t="shared" si="26"/>
        <v>-677802</v>
      </c>
      <c r="L115" s="583">
        <f t="shared" si="26"/>
        <v>-677802</v>
      </c>
      <c r="M115" s="583"/>
      <c r="N115" s="583"/>
      <c r="O115" s="583"/>
      <c r="P115" s="583"/>
      <c r="Q115" s="583"/>
      <c r="R115" s="583"/>
    </row>
    <row r="116" spans="1:19">
      <c r="A116" s="523">
        <v>2830</v>
      </c>
      <c r="C116" t="s">
        <v>951</v>
      </c>
      <c r="F116" s="583"/>
      <c r="G116" s="583"/>
      <c r="H116" s="583"/>
      <c r="I116" s="583"/>
      <c r="J116" s="583"/>
      <c r="K116" s="583"/>
      <c r="L116" s="583"/>
      <c r="M116" s="583">
        <f t="shared" ref="M116:R116" si="27">-M333</f>
        <v>-1784017.44</v>
      </c>
      <c r="N116" s="583">
        <f t="shared" si="27"/>
        <v>-2831617.44</v>
      </c>
      <c r="O116" s="583">
        <f t="shared" si="27"/>
        <v>-2831617.44</v>
      </c>
      <c r="P116" s="583">
        <f t="shared" si="27"/>
        <v>-2831617.44</v>
      </c>
      <c r="Q116" s="583">
        <f t="shared" si="27"/>
        <v>-3705454.8</v>
      </c>
      <c r="R116" s="583">
        <f t="shared" si="27"/>
        <v>-3798819.36</v>
      </c>
    </row>
    <row r="117" spans="1:19">
      <c r="A117" s="523">
        <v>2830</v>
      </c>
      <c r="C117" t="s">
        <v>952</v>
      </c>
      <c r="F117" s="583"/>
      <c r="G117" s="583"/>
      <c r="H117" s="583"/>
      <c r="I117" s="583"/>
      <c r="J117" s="583"/>
      <c r="K117" s="583"/>
      <c r="L117" s="583"/>
      <c r="M117" s="583"/>
      <c r="N117" s="583">
        <f>N270</f>
        <v>-113928</v>
      </c>
      <c r="O117" s="583">
        <f>N117</f>
        <v>-113928</v>
      </c>
      <c r="P117" s="583">
        <f>O117</f>
        <v>-113928</v>
      </c>
      <c r="Q117" s="583">
        <f>Q270+P117</f>
        <v>-217198</v>
      </c>
      <c r="R117" s="583">
        <f>R270+Q117</f>
        <v>-219808</v>
      </c>
    </row>
    <row r="118" spans="1:19">
      <c r="A118" s="523">
        <v>2830</v>
      </c>
      <c r="C118" t="s">
        <v>953</v>
      </c>
      <c r="F118" s="584"/>
      <c r="G118" s="584"/>
      <c r="H118" s="584"/>
      <c r="I118" s="584"/>
      <c r="J118" s="584"/>
      <c r="K118" s="584"/>
      <c r="L118" s="584"/>
      <c r="M118" s="584">
        <f>-M256</f>
        <v>22865</v>
      </c>
      <c r="N118" s="584"/>
      <c r="O118" s="584"/>
      <c r="P118" s="584"/>
      <c r="Q118" s="584">
        <f>-Q274</f>
        <v>-14748</v>
      </c>
      <c r="R118" s="584">
        <f>-R274</f>
        <v>0</v>
      </c>
    </row>
    <row r="119" spans="1:19">
      <c r="A119" s="523"/>
      <c r="F119" s="583">
        <f>SUM(F114:F118)</f>
        <v>0</v>
      </c>
      <c r="G119" s="583">
        <f t="shared" ref="G119:R119" si="28">SUM(G114:G118)</f>
        <v>0</v>
      </c>
      <c r="H119" s="583">
        <f t="shared" si="28"/>
        <v>0</v>
      </c>
      <c r="I119" s="583">
        <f t="shared" si="28"/>
        <v>0</v>
      </c>
      <c r="J119" s="583">
        <f t="shared" si="28"/>
        <v>0</v>
      </c>
      <c r="K119" s="583">
        <f t="shared" si="28"/>
        <v>0</v>
      </c>
      <c r="L119" s="583">
        <f t="shared" si="28"/>
        <v>0</v>
      </c>
      <c r="M119" s="583">
        <f t="shared" si="28"/>
        <v>-108439.43999999994</v>
      </c>
      <c r="N119" s="583">
        <f t="shared" si="28"/>
        <v>-199036.43999999994</v>
      </c>
      <c r="O119" s="583">
        <f t="shared" si="28"/>
        <v>-207750.43999999994</v>
      </c>
      <c r="P119" s="583">
        <f t="shared" si="28"/>
        <v>-208453.43999999994</v>
      </c>
      <c r="Q119" s="583">
        <f t="shared" si="28"/>
        <v>-250749.79999999981</v>
      </c>
      <c r="R119" s="583">
        <f t="shared" si="28"/>
        <v>-626111.35999999987</v>
      </c>
    </row>
    <row r="120" spans="1:19">
      <c r="A120" s="523">
        <v>2830</v>
      </c>
      <c r="C120" t="s">
        <v>329</v>
      </c>
      <c r="F120" s="584">
        <f t="shared" ref="F120:R120" si="29">F153</f>
        <v>0</v>
      </c>
      <c r="G120" s="584">
        <f t="shared" si="29"/>
        <v>-1992</v>
      </c>
      <c r="H120" s="584">
        <f t="shared" si="29"/>
        <v>-2065</v>
      </c>
      <c r="I120" s="584">
        <f t="shared" si="29"/>
        <v>200</v>
      </c>
      <c r="J120" s="584">
        <f t="shared" si="29"/>
        <v>-711</v>
      </c>
      <c r="K120" s="584">
        <f t="shared" si="29"/>
        <v>14200</v>
      </c>
      <c r="L120" s="584">
        <f t="shared" si="29"/>
        <v>28626</v>
      </c>
      <c r="M120" s="584">
        <f t="shared" si="29"/>
        <v>42255</v>
      </c>
      <c r="N120" s="584">
        <f t="shared" si="29"/>
        <v>83462</v>
      </c>
      <c r="O120" s="584">
        <f t="shared" si="29"/>
        <v>152618</v>
      </c>
      <c r="P120" s="584">
        <f t="shared" si="29"/>
        <v>222411</v>
      </c>
      <c r="Q120" s="584">
        <f t="shared" si="29"/>
        <v>310229</v>
      </c>
      <c r="R120" s="584">
        <f t="shared" si="29"/>
        <v>440853.02124999999</v>
      </c>
    </row>
    <row r="121" spans="1:19">
      <c r="A121" s="523"/>
      <c r="F121" s="583">
        <f t="shared" ref="F121:P121" si="30">F119+F120</f>
        <v>0</v>
      </c>
      <c r="G121" s="583">
        <f t="shared" si="30"/>
        <v>-1992</v>
      </c>
      <c r="H121" s="583">
        <f t="shared" si="30"/>
        <v>-2065</v>
      </c>
      <c r="I121" s="583">
        <f t="shared" si="30"/>
        <v>200</v>
      </c>
      <c r="J121" s="583">
        <f t="shared" si="30"/>
        <v>-711</v>
      </c>
      <c r="K121" s="583">
        <f t="shared" si="30"/>
        <v>14200</v>
      </c>
      <c r="L121" s="583">
        <f t="shared" si="30"/>
        <v>28626</v>
      </c>
      <c r="M121" s="583">
        <f t="shared" si="30"/>
        <v>-66184.439999999944</v>
      </c>
      <c r="N121" s="583">
        <f t="shared" si="30"/>
        <v>-115574.43999999994</v>
      </c>
      <c r="O121" s="583">
        <f t="shared" si="30"/>
        <v>-55132.439999999944</v>
      </c>
      <c r="P121" s="583">
        <f t="shared" si="30"/>
        <v>13957.560000000056</v>
      </c>
      <c r="Q121" s="583">
        <f>Q119+Q120</f>
        <v>59479.200000000186</v>
      </c>
      <c r="R121" s="583">
        <f>R119+R120</f>
        <v>-185258.33874999988</v>
      </c>
    </row>
    <row r="122" spans="1:19">
      <c r="A122" s="523">
        <v>2940</v>
      </c>
      <c r="C122" t="s">
        <v>185</v>
      </c>
      <c r="F122" s="583"/>
      <c r="G122" s="583"/>
      <c r="H122" s="583">
        <v>1387</v>
      </c>
      <c r="I122" s="583">
        <f>-8957+H122</f>
        <v>-7570</v>
      </c>
      <c r="J122" s="583">
        <f>5471+I122</f>
        <v>-2099</v>
      </c>
      <c r="K122" s="583">
        <v>-15627</v>
      </c>
      <c r="L122" s="583">
        <v>-17724</v>
      </c>
      <c r="M122" s="583">
        <v>6</v>
      </c>
      <c r="N122" s="583">
        <v>4</v>
      </c>
      <c r="O122" s="583">
        <v>85</v>
      </c>
      <c r="P122" s="583">
        <v>340</v>
      </c>
      <c r="Q122" s="583">
        <v>-2720</v>
      </c>
      <c r="R122" s="583">
        <v>-655</v>
      </c>
    </row>
    <row r="123" spans="1:19">
      <c r="A123" s="523">
        <v>2840</v>
      </c>
      <c r="C123" t="s">
        <v>186</v>
      </c>
      <c r="F123" s="583"/>
      <c r="G123" s="583"/>
      <c r="H123" s="583"/>
      <c r="I123" s="583"/>
      <c r="J123" s="583"/>
      <c r="K123" s="583"/>
      <c r="L123" s="583"/>
      <c r="M123" s="583">
        <v>14891</v>
      </c>
      <c r="N123" s="583">
        <v>2316</v>
      </c>
      <c r="O123" s="583">
        <v>-24352</v>
      </c>
      <c r="P123" s="583">
        <v>-5525</v>
      </c>
      <c r="Q123" s="583">
        <v>659</v>
      </c>
      <c r="R123" s="583">
        <v>-217</v>
      </c>
    </row>
    <row r="124" spans="1:19">
      <c r="A124" s="523">
        <v>2840</v>
      </c>
      <c r="C124" t="s">
        <v>187</v>
      </c>
      <c r="F124" s="583"/>
      <c r="G124" s="583"/>
      <c r="H124" s="583"/>
      <c r="I124" s="583"/>
      <c r="J124" s="583"/>
      <c r="K124" s="583"/>
      <c r="L124" s="583"/>
      <c r="M124" s="583">
        <v>1065</v>
      </c>
      <c r="N124" s="583">
        <v>1544</v>
      </c>
      <c r="O124" s="583">
        <v>-673</v>
      </c>
      <c r="P124" s="583">
        <v>380</v>
      </c>
      <c r="Q124" s="583">
        <v>387</v>
      </c>
      <c r="R124" s="583">
        <v>162</v>
      </c>
    </row>
    <row r="125" spans="1:19">
      <c r="A125" s="523">
        <v>2930</v>
      </c>
      <c r="C125" t="s">
        <v>199</v>
      </c>
      <c r="F125" s="584">
        <v>-38645</v>
      </c>
      <c r="G125" s="584">
        <v>-4662</v>
      </c>
      <c r="H125" s="584">
        <v>-61041</v>
      </c>
      <c r="I125" s="584">
        <v>-7985</v>
      </c>
      <c r="J125" s="584">
        <v>24099</v>
      </c>
      <c r="K125" s="584">
        <v>139604</v>
      </c>
      <c r="L125" s="584">
        <v>209002</v>
      </c>
      <c r="M125" s="584">
        <v>169389</v>
      </c>
      <c r="N125" s="584">
        <v>39807</v>
      </c>
      <c r="O125" s="584">
        <v>-111560</v>
      </c>
      <c r="P125" s="584">
        <v>-50648</v>
      </c>
      <c r="Q125" s="584">
        <v>-215998</v>
      </c>
      <c r="R125" s="584">
        <v>-61402</v>
      </c>
      <c r="S125" s="593" t="s">
        <v>93</v>
      </c>
    </row>
    <row r="126" spans="1:19">
      <c r="A126" s="523"/>
      <c r="F126" s="583">
        <f>F112+F121+F122+F123+F124+F125</f>
        <v>1561355</v>
      </c>
      <c r="G126" s="583">
        <f t="shared" ref="G126:R126" si="31">G112+G121+G122+G123+G124+G125</f>
        <v>1593346</v>
      </c>
      <c r="H126" s="583">
        <f t="shared" si="31"/>
        <v>1538281</v>
      </c>
      <c r="I126" s="583">
        <f t="shared" si="31"/>
        <v>1584645</v>
      </c>
      <c r="J126" s="583">
        <f t="shared" si="31"/>
        <v>1621289</v>
      </c>
      <c r="K126" s="583">
        <f t="shared" si="31"/>
        <v>1738177</v>
      </c>
      <c r="L126" s="583">
        <f t="shared" si="31"/>
        <v>1819904</v>
      </c>
      <c r="M126" s="583">
        <f t="shared" si="31"/>
        <v>1719166.56</v>
      </c>
      <c r="N126" s="583">
        <f t="shared" si="31"/>
        <v>1528096.56</v>
      </c>
      <c r="O126" s="583">
        <f t="shared" si="31"/>
        <v>1408367.56</v>
      </c>
      <c r="P126" s="583">
        <f t="shared" si="31"/>
        <v>1558504.56</v>
      </c>
      <c r="Q126" s="583">
        <f t="shared" si="31"/>
        <v>1441807.2000000002</v>
      </c>
      <c r="R126" s="583">
        <f t="shared" si="31"/>
        <v>1352629.6612500001</v>
      </c>
    </row>
    <row r="127" spans="1:19">
      <c r="A127" s="523">
        <v>2770</v>
      </c>
      <c r="C127" t="s">
        <v>936</v>
      </c>
      <c r="F127" s="583"/>
      <c r="G127" s="583"/>
      <c r="H127" s="583"/>
      <c r="I127" s="583"/>
      <c r="J127" s="583"/>
      <c r="K127" s="583"/>
      <c r="L127" s="583"/>
      <c r="M127" s="583"/>
      <c r="N127" s="583">
        <v>11610</v>
      </c>
      <c r="O127" s="583">
        <f>981+2356</f>
        <v>3337</v>
      </c>
      <c r="P127" s="585">
        <f>1079+1410</f>
        <v>2489</v>
      </c>
      <c r="Q127" s="583">
        <f>1098+607</f>
        <v>1705</v>
      </c>
      <c r="R127" s="583">
        <f>997-99</f>
        <v>898</v>
      </c>
    </row>
    <row r="128" spans="1:19" ht="13.5" thickBot="1">
      <c r="A128" s="523"/>
      <c r="C128" s="1" t="s">
        <v>165</v>
      </c>
      <c r="F128" s="591">
        <f t="shared" ref="F128:P128" si="32">F98+F110+F126+F127</f>
        <v>2271673</v>
      </c>
      <c r="G128" s="591">
        <f t="shared" si="32"/>
        <v>2286655</v>
      </c>
      <c r="H128" s="591">
        <f t="shared" si="32"/>
        <v>2570177</v>
      </c>
      <c r="I128" s="591">
        <f t="shared" si="32"/>
        <v>2554893</v>
      </c>
      <c r="J128" s="591">
        <f t="shared" si="32"/>
        <v>3348390</v>
      </c>
      <c r="K128" s="591">
        <f t="shared" si="32"/>
        <v>3482125</v>
      </c>
      <c r="L128" s="591">
        <f t="shared" si="32"/>
        <v>3699449</v>
      </c>
      <c r="M128" s="591">
        <f t="shared" si="32"/>
        <v>2928891</v>
      </c>
      <c r="N128" s="591">
        <f t="shared" si="32"/>
        <v>2731749</v>
      </c>
      <c r="O128" s="591">
        <f t="shared" si="32"/>
        <v>3246602</v>
      </c>
      <c r="P128" s="591">
        <f t="shared" si="32"/>
        <v>3326908</v>
      </c>
      <c r="Q128" s="591">
        <f>Q98+Q110+Q126+Q127</f>
        <v>3688382</v>
      </c>
      <c r="R128" s="591">
        <f>R98+R110+R126+R127</f>
        <v>3371163.0212500002</v>
      </c>
      <c r="S128" s="14"/>
    </row>
    <row r="129" spans="1:18" ht="13.5" thickTop="1">
      <c r="A129" s="540" t="s">
        <v>954</v>
      </c>
      <c r="B129" s="1"/>
      <c r="C129" s="1"/>
      <c r="E129" s="16" t="s">
        <v>93</v>
      </c>
      <c r="F129" s="9">
        <f t="shared" ref="F129:R129" si="33">F86-F128</f>
        <v>0</v>
      </c>
      <c r="G129" s="9">
        <f t="shared" si="33"/>
        <v>0</v>
      </c>
      <c r="H129" s="9">
        <f t="shared" si="33"/>
        <v>0</v>
      </c>
      <c r="I129" s="9">
        <f t="shared" si="33"/>
        <v>0</v>
      </c>
      <c r="J129" s="9">
        <f t="shared" si="33"/>
        <v>0</v>
      </c>
      <c r="K129" s="9">
        <f t="shared" si="33"/>
        <v>0</v>
      </c>
      <c r="L129" s="9">
        <f t="shared" si="33"/>
        <v>0</v>
      </c>
      <c r="M129" s="9">
        <f t="shared" si="33"/>
        <v>-39549.000000001863</v>
      </c>
      <c r="N129" s="9">
        <f t="shared" si="33"/>
        <v>86759</v>
      </c>
      <c r="O129" s="9">
        <f t="shared" si="33"/>
        <v>31760</v>
      </c>
      <c r="P129" s="9">
        <f t="shared" si="33"/>
        <v>12953</v>
      </c>
      <c r="Q129" s="9">
        <f t="shared" si="33"/>
        <v>8086</v>
      </c>
      <c r="R129" s="9">
        <f t="shared" si="33"/>
        <v>199527</v>
      </c>
    </row>
    <row r="130" spans="1:18">
      <c r="A130" s="523">
        <v>1</v>
      </c>
      <c r="C130" s="582" t="s">
        <v>955</v>
      </c>
      <c r="D130" s="582"/>
      <c r="E130" s="582"/>
      <c r="F130" s="636">
        <v>1999</v>
      </c>
      <c r="G130" s="636">
        <f t="shared" ref="G130:R130" si="34">F130+1</f>
        <v>2000</v>
      </c>
      <c r="H130" s="636">
        <f t="shared" si="34"/>
        <v>2001</v>
      </c>
      <c r="I130" s="636">
        <f t="shared" si="34"/>
        <v>2002</v>
      </c>
      <c r="J130" s="636">
        <f t="shared" si="34"/>
        <v>2003</v>
      </c>
      <c r="K130" s="636">
        <f t="shared" si="34"/>
        <v>2004</v>
      </c>
      <c r="L130" s="636">
        <f t="shared" si="34"/>
        <v>2005</v>
      </c>
      <c r="M130" s="636">
        <f t="shared" si="34"/>
        <v>2006</v>
      </c>
      <c r="N130" s="636">
        <f t="shared" si="34"/>
        <v>2007</v>
      </c>
      <c r="O130" s="636">
        <f t="shared" si="34"/>
        <v>2008</v>
      </c>
      <c r="P130" s="636">
        <f t="shared" si="34"/>
        <v>2009</v>
      </c>
      <c r="Q130" s="636">
        <f t="shared" si="34"/>
        <v>2010</v>
      </c>
      <c r="R130" s="636">
        <f t="shared" si="34"/>
        <v>2011</v>
      </c>
    </row>
    <row r="131" spans="1:18">
      <c r="A131" s="523"/>
      <c r="C131" t="s">
        <v>956</v>
      </c>
      <c r="D131" s="14"/>
      <c r="E131" s="14"/>
      <c r="F131" s="14">
        <f t="shared" ref="F131:R131" si="35">F22</f>
        <v>2089995</v>
      </c>
      <c r="G131" s="14">
        <f t="shared" si="35"/>
        <v>2261789</v>
      </c>
      <c r="H131" s="14">
        <f t="shared" si="35"/>
        <v>2290003</v>
      </c>
      <c r="I131" s="14">
        <f t="shared" si="35"/>
        <v>2505982</v>
      </c>
      <c r="J131" s="14">
        <f t="shared" si="35"/>
        <v>3411339</v>
      </c>
      <c r="K131" s="14">
        <f t="shared" si="35"/>
        <v>3477704</v>
      </c>
      <c r="L131" s="14">
        <f t="shared" si="35"/>
        <v>3901041</v>
      </c>
      <c r="M131" s="14">
        <f t="shared" si="35"/>
        <v>4749139</v>
      </c>
      <c r="N131" s="14">
        <f t="shared" si="35"/>
        <v>6269337</v>
      </c>
      <c r="O131" s="14">
        <f t="shared" si="35"/>
        <v>6306405</v>
      </c>
      <c r="P131" s="14">
        <f t="shared" si="35"/>
        <v>6395030</v>
      </c>
      <c r="Q131" s="14">
        <f t="shared" si="35"/>
        <v>8017808</v>
      </c>
      <c r="R131" s="14">
        <f t="shared" si="35"/>
        <v>7569214</v>
      </c>
    </row>
    <row r="132" spans="1:18">
      <c r="A132" s="523"/>
      <c r="C132" t="s">
        <v>24</v>
      </c>
      <c r="D132" s="14"/>
      <c r="E132" s="14"/>
      <c r="F132" s="14">
        <f t="shared" ref="F132:R132" si="36">F238</f>
        <v>0</v>
      </c>
      <c r="G132" s="14">
        <f t="shared" si="36"/>
        <v>77813</v>
      </c>
      <c r="H132" s="14">
        <f t="shared" si="36"/>
        <v>0</v>
      </c>
      <c r="I132" s="14">
        <f t="shared" si="36"/>
        <v>0</v>
      </c>
      <c r="J132" s="14">
        <f t="shared" si="36"/>
        <v>600000</v>
      </c>
      <c r="K132" s="14">
        <f t="shared" si="36"/>
        <v>0</v>
      </c>
      <c r="L132" s="14">
        <f t="shared" si="36"/>
        <v>0</v>
      </c>
      <c r="M132" s="14">
        <f t="shared" si="36"/>
        <v>1800000</v>
      </c>
      <c r="N132" s="14">
        <f t="shared" si="36"/>
        <v>1455000</v>
      </c>
      <c r="O132" s="14">
        <f t="shared" si="36"/>
        <v>0</v>
      </c>
      <c r="P132" s="14">
        <f t="shared" si="36"/>
        <v>0</v>
      </c>
      <c r="Q132" s="14">
        <f t="shared" si="36"/>
        <v>1213663</v>
      </c>
      <c r="R132" s="14">
        <f t="shared" si="36"/>
        <v>129673</v>
      </c>
    </row>
    <row r="133" spans="1:18">
      <c r="A133" s="523"/>
      <c r="C133" t="s">
        <v>427</v>
      </c>
      <c r="D133" s="14"/>
      <c r="E133" s="14"/>
      <c r="F133" s="18">
        <f>F132</f>
        <v>0</v>
      </c>
      <c r="G133" s="18">
        <f>F133+G132</f>
        <v>77813</v>
      </c>
      <c r="H133" s="18">
        <f t="shared" ref="H133:R133" si="37">G133+H132</f>
        <v>77813</v>
      </c>
      <c r="I133" s="18">
        <v>77802</v>
      </c>
      <c r="J133" s="18">
        <f t="shared" si="37"/>
        <v>677802</v>
      </c>
      <c r="K133" s="18">
        <f t="shared" si="37"/>
        <v>677802</v>
      </c>
      <c r="L133" s="18">
        <f t="shared" si="37"/>
        <v>677802</v>
      </c>
      <c r="M133" s="18">
        <f t="shared" si="37"/>
        <v>2477802</v>
      </c>
      <c r="N133" s="18">
        <f t="shared" si="37"/>
        <v>3932802</v>
      </c>
      <c r="O133" s="18">
        <f t="shared" si="37"/>
        <v>3932802</v>
      </c>
      <c r="P133" s="18">
        <f t="shared" si="37"/>
        <v>3932802</v>
      </c>
      <c r="Q133" s="18">
        <f t="shared" si="37"/>
        <v>5146465</v>
      </c>
      <c r="R133" s="18">
        <f t="shared" si="37"/>
        <v>5276138</v>
      </c>
    </row>
    <row r="134" spans="1:18">
      <c r="A134" s="523"/>
      <c r="C134" t="s">
        <v>957</v>
      </c>
      <c r="D134" s="14"/>
      <c r="E134" s="14"/>
      <c r="F134" s="14">
        <f t="shared" ref="F134:R134" si="38">F131-F133</f>
        <v>2089995</v>
      </c>
      <c r="G134" s="14">
        <f t="shared" si="38"/>
        <v>2183976</v>
      </c>
      <c r="H134" s="14">
        <f t="shared" si="38"/>
        <v>2212190</v>
      </c>
      <c r="I134" s="14">
        <f t="shared" si="38"/>
        <v>2428180</v>
      </c>
      <c r="J134" s="14">
        <f t="shared" si="38"/>
        <v>2733537</v>
      </c>
      <c r="K134" s="14">
        <f t="shared" si="38"/>
        <v>2799902</v>
      </c>
      <c r="L134" s="14">
        <f t="shared" si="38"/>
        <v>3223239</v>
      </c>
      <c r="M134" s="14">
        <f t="shared" si="38"/>
        <v>2271337</v>
      </c>
      <c r="N134" s="14">
        <f t="shared" si="38"/>
        <v>2336535</v>
      </c>
      <c r="O134" s="14">
        <f t="shared" si="38"/>
        <v>2373603</v>
      </c>
      <c r="P134" s="14">
        <f t="shared" si="38"/>
        <v>2462228</v>
      </c>
      <c r="Q134" s="14">
        <f t="shared" si="38"/>
        <v>2871343</v>
      </c>
      <c r="R134" s="14">
        <f t="shared" si="38"/>
        <v>2293076</v>
      </c>
    </row>
    <row r="135" spans="1:18">
      <c r="A135" s="523"/>
      <c r="C135" t="s">
        <v>159</v>
      </c>
      <c r="D135" s="14"/>
      <c r="E135" s="14"/>
      <c r="F135" s="18">
        <f>F23</f>
        <v>0</v>
      </c>
      <c r="G135" s="18">
        <f t="shared" ref="G135:R135" si="39">G23</f>
        <v>0</v>
      </c>
      <c r="H135" s="18">
        <f t="shared" si="39"/>
        <v>212544</v>
      </c>
      <c r="I135" s="18">
        <f t="shared" si="39"/>
        <v>52823</v>
      </c>
      <c r="J135" s="18">
        <f t="shared" si="39"/>
        <v>118126</v>
      </c>
      <c r="K135" s="18">
        <f t="shared" si="39"/>
        <v>215374</v>
      </c>
      <c r="L135" s="18">
        <f t="shared" si="39"/>
        <v>93643</v>
      </c>
      <c r="M135" s="18">
        <f t="shared" si="39"/>
        <v>94869</v>
      </c>
      <c r="N135" s="18">
        <f t="shared" si="39"/>
        <v>94932</v>
      </c>
      <c r="O135" s="18">
        <f t="shared" si="39"/>
        <v>309589</v>
      </c>
      <c r="P135" s="18">
        <f t="shared" si="39"/>
        <v>677980</v>
      </c>
      <c r="Q135" s="18">
        <f t="shared" si="39"/>
        <v>282322</v>
      </c>
      <c r="R135" s="18">
        <f t="shared" si="39"/>
        <v>273934</v>
      </c>
    </row>
    <row r="136" spans="1:18">
      <c r="A136" s="523"/>
      <c r="C136" t="s">
        <v>158</v>
      </c>
      <c r="D136" s="14"/>
      <c r="E136" s="14"/>
      <c r="F136" s="14">
        <f t="shared" ref="F136:Q136" si="40">+SUM(F133:F135)</f>
        <v>2089995</v>
      </c>
      <c r="G136" s="14">
        <f t="shared" si="40"/>
        <v>2261789</v>
      </c>
      <c r="H136" s="14">
        <f t="shared" si="40"/>
        <v>2502547</v>
      </c>
      <c r="I136" s="14">
        <f t="shared" si="40"/>
        <v>2558805</v>
      </c>
      <c r="J136" s="14">
        <f t="shared" si="40"/>
        <v>3529465</v>
      </c>
      <c r="K136" s="14">
        <f t="shared" si="40"/>
        <v>3693078</v>
      </c>
      <c r="L136" s="14">
        <f t="shared" si="40"/>
        <v>3994684</v>
      </c>
      <c r="M136" s="14">
        <f t="shared" si="40"/>
        <v>4844008</v>
      </c>
      <c r="N136" s="14">
        <f t="shared" si="40"/>
        <v>6364269</v>
      </c>
      <c r="O136" s="14">
        <f t="shared" si="40"/>
        <v>6615994</v>
      </c>
      <c r="P136" s="14">
        <f t="shared" si="40"/>
        <v>7073010</v>
      </c>
      <c r="Q136" s="14">
        <f t="shared" si="40"/>
        <v>8300130</v>
      </c>
      <c r="R136" s="14">
        <f>+SUM(R133:R135)</f>
        <v>7843148</v>
      </c>
    </row>
    <row r="137" spans="1:18">
      <c r="A137" s="523"/>
      <c r="C137" t="s">
        <v>935</v>
      </c>
      <c r="D137" s="14"/>
      <c r="E137" s="14"/>
      <c r="F137" s="14">
        <f>F24</f>
        <v>-14688</v>
      </c>
      <c r="G137" s="14">
        <f t="shared" ref="G137:R137" si="41">G24</f>
        <v>-62472</v>
      </c>
      <c r="H137" s="14">
        <f t="shared" si="41"/>
        <v>-129179</v>
      </c>
      <c r="I137" s="14">
        <f t="shared" si="41"/>
        <v>-172329</v>
      </c>
      <c r="J137" s="14">
        <f t="shared" si="41"/>
        <v>-35096</v>
      </c>
      <c r="K137" s="14">
        <f t="shared" si="41"/>
        <v>-111776</v>
      </c>
      <c r="L137" s="14">
        <f t="shared" si="41"/>
        <v>-198472</v>
      </c>
      <c r="M137" s="14">
        <f t="shared" si="41"/>
        <v>-52032.000000001877</v>
      </c>
      <c r="N137" s="14">
        <f t="shared" si="41"/>
        <v>-49196</v>
      </c>
      <c r="O137" s="14">
        <f t="shared" si="41"/>
        <v>-183404</v>
      </c>
      <c r="P137" s="14">
        <f t="shared" si="41"/>
        <v>-329895</v>
      </c>
      <c r="Q137" s="14">
        <f t="shared" si="41"/>
        <v>-92803</v>
      </c>
      <c r="R137" s="14">
        <f t="shared" si="41"/>
        <v>-122341</v>
      </c>
    </row>
    <row r="138" spans="1:18" ht="13.5" thickBot="1">
      <c r="A138" s="523"/>
      <c r="C138" t="s">
        <v>164</v>
      </c>
      <c r="D138" s="14"/>
      <c r="E138" s="14"/>
      <c r="F138" s="489">
        <f>F136+F137</f>
        <v>2075307</v>
      </c>
      <c r="G138" s="489">
        <f t="shared" ref="G138:R138" si="42">G136+G137</f>
        <v>2199317</v>
      </c>
      <c r="H138" s="489">
        <f t="shared" si="42"/>
        <v>2373368</v>
      </c>
      <c r="I138" s="489">
        <f t="shared" si="42"/>
        <v>2386476</v>
      </c>
      <c r="J138" s="489">
        <f t="shared" si="42"/>
        <v>3494369</v>
      </c>
      <c r="K138" s="489">
        <f t="shared" si="42"/>
        <v>3581302</v>
      </c>
      <c r="L138" s="489">
        <f t="shared" si="42"/>
        <v>3796212</v>
      </c>
      <c r="M138" s="489">
        <f t="shared" si="42"/>
        <v>4791975.9999999981</v>
      </c>
      <c r="N138" s="489">
        <f t="shared" si="42"/>
        <v>6315073</v>
      </c>
      <c r="O138" s="489">
        <f t="shared" si="42"/>
        <v>6432590</v>
      </c>
      <c r="P138" s="489">
        <f t="shared" si="42"/>
        <v>6743115</v>
      </c>
      <c r="Q138" s="489">
        <f t="shared" si="42"/>
        <v>8207327</v>
      </c>
      <c r="R138" s="489">
        <f t="shared" si="42"/>
        <v>7720807</v>
      </c>
    </row>
    <row r="139" spans="1:18" ht="13.5" thickTop="1">
      <c r="A139" s="523">
        <v>2</v>
      </c>
      <c r="C139" s="88" t="s">
        <v>958</v>
      </c>
      <c r="D139" s="594"/>
      <c r="E139" s="594"/>
      <c r="F139" s="14"/>
      <c r="G139" s="14"/>
      <c r="H139" s="14"/>
      <c r="I139" s="14"/>
      <c r="J139" s="14"/>
      <c r="K139" s="14"/>
      <c r="L139" s="14"/>
      <c r="M139" s="14"/>
      <c r="N139" s="14"/>
      <c r="O139" s="14"/>
      <c r="P139" s="14"/>
      <c r="Q139" s="14"/>
      <c r="R139" s="14"/>
    </row>
    <row r="140" spans="1:18">
      <c r="A140" s="523"/>
      <c r="C140" t="s">
        <v>204</v>
      </c>
      <c r="D140" s="14"/>
      <c r="E140" s="14"/>
      <c r="F140" s="14">
        <f>F134</f>
        <v>2089995</v>
      </c>
      <c r="G140" s="14">
        <f t="shared" ref="G140:R140" si="43">G134</f>
        <v>2183976</v>
      </c>
      <c r="H140" s="14">
        <f t="shared" si="43"/>
        <v>2212190</v>
      </c>
      <c r="I140" s="14">
        <f t="shared" si="43"/>
        <v>2428180</v>
      </c>
      <c r="J140" s="14">
        <f t="shared" si="43"/>
        <v>2733537</v>
      </c>
      <c r="K140" s="14">
        <f t="shared" si="43"/>
        <v>2799902</v>
      </c>
      <c r="L140" s="14">
        <f t="shared" si="43"/>
        <v>3223239</v>
      </c>
      <c r="M140" s="14">
        <f t="shared" si="43"/>
        <v>2271337</v>
      </c>
      <c r="N140" s="14">
        <f t="shared" si="43"/>
        <v>2336535</v>
      </c>
      <c r="O140" s="14">
        <f t="shared" si="43"/>
        <v>2373603</v>
      </c>
      <c r="P140" s="14">
        <f t="shared" si="43"/>
        <v>2462228</v>
      </c>
      <c r="Q140" s="14">
        <f t="shared" si="43"/>
        <v>2871343</v>
      </c>
      <c r="R140" s="14">
        <f t="shared" si="43"/>
        <v>2293076</v>
      </c>
    </row>
    <row r="141" spans="1:18">
      <c r="A141" s="523"/>
      <c r="C141" t="s">
        <v>940</v>
      </c>
      <c r="D141" s="14"/>
      <c r="E141" s="14"/>
      <c r="F141" s="14">
        <f>F133</f>
        <v>0</v>
      </c>
      <c r="G141" s="14">
        <f t="shared" ref="G141:R141" si="44">G133</f>
        <v>77813</v>
      </c>
      <c r="H141" s="14">
        <f t="shared" si="44"/>
        <v>77813</v>
      </c>
      <c r="I141" s="14">
        <f t="shared" si="44"/>
        <v>77802</v>
      </c>
      <c r="J141" s="14">
        <f t="shared" si="44"/>
        <v>677802</v>
      </c>
      <c r="K141" s="14">
        <f t="shared" si="44"/>
        <v>677802</v>
      </c>
      <c r="L141" s="14">
        <f t="shared" si="44"/>
        <v>677802</v>
      </c>
      <c r="M141" s="14">
        <f t="shared" si="44"/>
        <v>2477802</v>
      </c>
      <c r="N141" s="14">
        <f t="shared" si="44"/>
        <v>3932802</v>
      </c>
      <c r="O141" s="14">
        <f t="shared" si="44"/>
        <v>3932802</v>
      </c>
      <c r="P141" s="14">
        <f t="shared" si="44"/>
        <v>3932802</v>
      </c>
      <c r="Q141" s="14">
        <f t="shared" si="44"/>
        <v>5146465</v>
      </c>
      <c r="R141" s="14">
        <f t="shared" si="44"/>
        <v>5276138</v>
      </c>
    </row>
    <row r="142" spans="1:18">
      <c r="A142" s="523"/>
      <c r="C142" t="s">
        <v>959</v>
      </c>
      <c r="D142" s="14"/>
      <c r="E142" s="14"/>
      <c r="F142" s="14">
        <f>-F141</f>
        <v>0</v>
      </c>
      <c r="G142" s="14">
        <f t="shared" ref="G142:R142" si="45">-G141</f>
        <v>-77813</v>
      </c>
      <c r="H142" s="14">
        <f t="shared" si="45"/>
        <v>-77813</v>
      </c>
      <c r="I142" s="14">
        <f t="shared" si="45"/>
        <v>-77802</v>
      </c>
      <c r="J142" s="14">
        <f t="shared" si="45"/>
        <v>-677802</v>
      </c>
      <c r="K142" s="14">
        <f t="shared" si="45"/>
        <v>-677802</v>
      </c>
      <c r="L142" s="14">
        <f t="shared" si="45"/>
        <v>-677802</v>
      </c>
      <c r="M142" s="14">
        <f t="shared" si="45"/>
        <v>-2477802</v>
      </c>
      <c r="N142" s="14">
        <f t="shared" si="45"/>
        <v>-3932802</v>
      </c>
      <c r="O142" s="14">
        <f t="shared" si="45"/>
        <v>-3932802</v>
      </c>
      <c r="P142" s="14">
        <f t="shared" si="45"/>
        <v>-3932802</v>
      </c>
      <c r="Q142" s="14">
        <f t="shared" si="45"/>
        <v>-5146465</v>
      </c>
      <c r="R142" s="14">
        <f t="shared" si="45"/>
        <v>-5276138</v>
      </c>
    </row>
    <row r="143" spans="1:18">
      <c r="A143" s="523"/>
      <c r="C143" t="s">
        <v>159</v>
      </c>
      <c r="D143" s="14"/>
      <c r="F143" s="18">
        <f>F135</f>
        <v>0</v>
      </c>
      <c r="G143" s="18">
        <f t="shared" ref="G143:R143" si="46">G135</f>
        <v>0</v>
      </c>
      <c r="H143" s="18">
        <f t="shared" si="46"/>
        <v>212544</v>
      </c>
      <c r="I143" s="18">
        <f t="shared" si="46"/>
        <v>52823</v>
      </c>
      <c r="J143" s="18">
        <f t="shared" si="46"/>
        <v>118126</v>
      </c>
      <c r="K143" s="18">
        <f t="shared" si="46"/>
        <v>215374</v>
      </c>
      <c r="L143" s="18">
        <f t="shared" si="46"/>
        <v>93643</v>
      </c>
      <c r="M143" s="18">
        <f t="shared" si="46"/>
        <v>94869</v>
      </c>
      <c r="N143" s="18">
        <f t="shared" si="46"/>
        <v>94932</v>
      </c>
      <c r="O143" s="18">
        <f t="shared" si="46"/>
        <v>309589</v>
      </c>
      <c r="P143" s="18">
        <f t="shared" si="46"/>
        <v>677980</v>
      </c>
      <c r="Q143" s="18">
        <f t="shared" si="46"/>
        <v>282322</v>
      </c>
      <c r="R143" s="18">
        <f t="shared" si="46"/>
        <v>273934</v>
      </c>
    </row>
    <row r="144" spans="1:18">
      <c r="A144" s="523"/>
      <c r="C144" s="16" t="s">
        <v>158</v>
      </c>
      <c r="D144" s="14"/>
      <c r="E144" s="14"/>
      <c r="F144" s="14">
        <f>SUM(F140:F143)</f>
        <v>2089995</v>
      </c>
      <c r="G144" s="14">
        <f t="shared" ref="G144:R144" si="47">SUM(G140:G143)</f>
        <v>2183976</v>
      </c>
      <c r="H144" s="14">
        <f t="shared" si="47"/>
        <v>2424734</v>
      </c>
      <c r="I144" s="14">
        <f t="shared" si="47"/>
        <v>2481003</v>
      </c>
      <c r="J144" s="14">
        <f t="shared" si="47"/>
        <v>2851663</v>
      </c>
      <c r="K144" s="14">
        <f t="shared" si="47"/>
        <v>3015276</v>
      </c>
      <c r="L144" s="14">
        <f t="shared" si="47"/>
        <v>3316882</v>
      </c>
      <c r="M144" s="14">
        <f t="shared" si="47"/>
        <v>2366206</v>
      </c>
      <c r="N144" s="14">
        <f t="shared" si="47"/>
        <v>2431467</v>
      </c>
      <c r="O144" s="14">
        <f t="shared" si="47"/>
        <v>2683192</v>
      </c>
      <c r="P144" s="14">
        <f t="shared" si="47"/>
        <v>3140208</v>
      </c>
      <c r="Q144" s="14">
        <f t="shared" si="47"/>
        <v>3153665</v>
      </c>
      <c r="R144" s="14">
        <f t="shared" si="47"/>
        <v>2567010</v>
      </c>
    </row>
    <row r="145" spans="1:19">
      <c r="A145" s="523"/>
      <c r="C145" t="s">
        <v>960</v>
      </c>
      <c r="D145" s="14"/>
      <c r="E145" s="14"/>
      <c r="F145" s="14">
        <f>F137</f>
        <v>-14688</v>
      </c>
      <c r="G145" s="14">
        <f t="shared" ref="G145:R145" si="48">G137</f>
        <v>-62472</v>
      </c>
      <c r="H145" s="14">
        <f t="shared" si="48"/>
        <v>-129179</v>
      </c>
      <c r="I145" s="14">
        <f t="shared" si="48"/>
        <v>-172329</v>
      </c>
      <c r="J145" s="14">
        <f t="shared" si="48"/>
        <v>-35096</v>
      </c>
      <c r="K145" s="14">
        <f t="shared" si="48"/>
        <v>-111776</v>
      </c>
      <c r="L145" s="14">
        <f t="shared" si="48"/>
        <v>-198472</v>
      </c>
      <c r="M145" s="14">
        <f t="shared" si="48"/>
        <v>-52032.000000001877</v>
      </c>
      <c r="N145" s="14">
        <f t="shared" si="48"/>
        <v>-49196</v>
      </c>
      <c r="O145" s="14">
        <f t="shared" si="48"/>
        <v>-183404</v>
      </c>
      <c r="P145" s="14">
        <f t="shared" si="48"/>
        <v>-329895</v>
      </c>
      <c r="Q145" s="14">
        <f t="shared" si="48"/>
        <v>-92803</v>
      </c>
      <c r="R145" s="14">
        <f t="shared" si="48"/>
        <v>-122341</v>
      </c>
    </row>
    <row r="146" spans="1:19">
      <c r="A146" s="523"/>
      <c r="C146" t="s">
        <v>961</v>
      </c>
      <c r="D146" s="14"/>
      <c r="E146" s="14"/>
      <c r="F146" s="590">
        <f t="shared" ref="F146:R146" si="49">F153</f>
        <v>0</v>
      </c>
      <c r="G146" s="590">
        <f t="shared" si="49"/>
        <v>-1992</v>
      </c>
      <c r="H146" s="590">
        <f t="shared" si="49"/>
        <v>-2065</v>
      </c>
      <c r="I146" s="590">
        <f t="shared" si="49"/>
        <v>200</v>
      </c>
      <c r="J146" s="590">
        <f t="shared" si="49"/>
        <v>-711</v>
      </c>
      <c r="K146" s="590">
        <f t="shared" si="49"/>
        <v>14200</v>
      </c>
      <c r="L146" s="590">
        <f t="shared" si="49"/>
        <v>28626</v>
      </c>
      <c r="M146" s="590">
        <f t="shared" si="49"/>
        <v>42255</v>
      </c>
      <c r="N146" s="590">
        <f t="shared" si="49"/>
        <v>83462</v>
      </c>
      <c r="O146" s="590">
        <f t="shared" si="49"/>
        <v>152618</v>
      </c>
      <c r="P146" s="590">
        <f t="shared" si="49"/>
        <v>222411</v>
      </c>
      <c r="Q146" s="590">
        <f t="shared" si="49"/>
        <v>310229</v>
      </c>
      <c r="R146" s="590">
        <f t="shared" si="49"/>
        <v>440853.02124999999</v>
      </c>
    </row>
    <row r="147" spans="1:19">
      <c r="A147" s="523"/>
      <c r="C147" t="s">
        <v>943</v>
      </c>
      <c r="D147" s="14"/>
      <c r="E147" s="14"/>
      <c r="F147" s="14">
        <f>F145+F146</f>
        <v>-14688</v>
      </c>
      <c r="G147" s="14">
        <f t="shared" ref="G147:R147" si="50">G145+G146</f>
        <v>-64464</v>
      </c>
      <c r="H147" s="14">
        <f t="shared" si="50"/>
        <v>-131244</v>
      </c>
      <c r="I147" s="14">
        <f t="shared" si="50"/>
        <v>-172129</v>
      </c>
      <c r="J147" s="14">
        <f t="shared" si="50"/>
        <v>-35807</v>
      </c>
      <c r="K147" s="14">
        <f t="shared" si="50"/>
        <v>-97576</v>
      </c>
      <c r="L147" s="14">
        <f t="shared" si="50"/>
        <v>-169846</v>
      </c>
      <c r="M147" s="14">
        <f t="shared" si="50"/>
        <v>-9777.0000000018772</v>
      </c>
      <c r="N147" s="14">
        <f t="shared" si="50"/>
        <v>34266</v>
      </c>
      <c r="O147" s="14">
        <f t="shared" si="50"/>
        <v>-30786</v>
      </c>
      <c r="P147" s="14">
        <f t="shared" si="50"/>
        <v>-107484</v>
      </c>
      <c r="Q147" s="14">
        <f t="shared" si="50"/>
        <v>217426</v>
      </c>
      <c r="R147" s="14">
        <f t="shared" si="50"/>
        <v>318512.02124999999</v>
      </c>
    </row>
    <row r="148" spans="1:19" ht="13.5" thickBot="1">
      <c r="A148" s="523"/>
      <c r="C148" s="1" t="s">
        <v>962</v>
      </c>
      <c r="D148" s="14"/>
      <c r="E148" s="14"/>
      <c r="F148" s="489">
        <f>F144+F147</f>
        <v>2075307</v>
      </c>
      <c r="G148" s="489">
        <f t="shared" ref="G148:R148" si="51">G144+G147</f>
        <v>2119512</v>
      </c>
      <c r="H148" s="489">
        <f t="shared" si="51"/>
        <v>2293490</v>
      </c>
      <c r="I148" s="489">
        <f t="shared" si="51"/>
        <v>2308874</v>
      </c>
      <c r="J148" s="489">
        <f t="shared" si="51"/>
        <v>2815856</v>
      </c>
      <c r="K148" s="489">
        <f t="shared" si="51"/>
        <v>2917700</v>
      </c>
      <c r="L148" s="489">
        <f t="shared" si="51"/>
        <v>3147036</v>
      </c>
      <c r="M148" s="489">
        <f t="shared" si="51"/>
        <v>2356428.9999999981</v>
      </c>
      <c r="N148" s="489">
        <f t="shared" si="51"/>
        <v>2465733</v>
      </c>
      <c r="O148" s="489">
        <f t="shared" si="51"/>
        <v>2652406</v>
      </c>
      <c r="P148" s="489">
        <f t="shared" si="51"/>
        <v>3032724</v>
      </c>
      <c r="Q148" s="489">
        <f t="shared" si="51"/>
        <v>3371091</v>
      </c>
      <c r="R148" s="489">
        <f t="shared" si="51"/>
        <v>2885522.0212500002</v>
      </c>
    </row>
    <row r="149" spans="1:19" ht="13.5" thickTop="1">
      <c r="A149" s="523">
        <v>3</v>
      </c>
      <c r="C149" s="582" t="s">
        <v>316</v>
      </c>
      <c r="D149" s="582"/>
      <c r="E149" s="582"/>
      <c r="F149" s="9">
        <v>14452</v>
      </c>
      <c r="G149" s="9">
        <v>48891</v>
      </c>
      <c r="H149" s="9">
        <v>52172</v>
      </c>
      <c r="I149" s="9">
        <v>58584</v>
      </c>
      <c r="J149" s="9">
        <v>59686</v>
      </c>
      <c r="K149" s="9">
        <v>74545</v>
      </c>
      <c r="L149" s="9">
        <v>81309</v>
      </c>
      <c r="M149" s="9">
        <v>77436</v>
      </c>
      <c r="N149" s="9">
        <v>107132</v>
      </c>
      <c r="O149" s="9">
        <v>139556</v>
      </c>
      <c r="P149" s="9">
        <v>149793</v>
      </c>
      <c r="Q149" s="9">
        <v>174318</v>
      </c>
      <c r="R149" s="9">
        <v>209283</v>
      </c>
      <c r="S149" s="2"/>
    </row>
    <row r="150" spans="1:19">
      <c r="A150" s="523"/>
      <c r="C150" t="s">
        <v>963</v>
      </c>
      <c r="G150" s="588">
        <f>G166</f>
        <v>-1992</v>
      </c>
      <c r="H150" s="588">
        <f>H171</f>
        <v>-73</v>
      </c>
      <c r="I150" s="588">
        <f>I176</f>
        <v>2265</v>
      </c>
      <c r="J150" s="588">
        <f>J182</f>
        <v>-911</v>
      </c>
      <c r="K150" s="595">
        <f>K189</f>
        <v>14911</v>
      </c>
      <c r="L150" s="595">
        <f>L194</f>
        <v>14426</v>
      </c>
      <c r="M150" s="595">
        <f>M200</f>
        <v>13629</v>
      </c>
      <c r="N150" s="595">
        <f>N206</f>
        <v>41207</v>
      </c>
      <c r="S150" s="2"/>
    </row>
    <row r="151" spans="1:19" ht="15">
      <c r="A151" s="523"/>
      <c r="C151" t="s">
        <v>964</v>
      </c>
      <c r="F151" s="4"/>
      <c r="G151" s="494"/>
      <c r="H151" s="18"/>
      <c r="I151" s="18"/>
      <c r="J151" s="18"/>
      <c r="K151" s="494"/>
      <c r="L151" s="494"/>
      <c r="M151" s="494"/>
      <c r="N151" s="494"/>
      <c r="O151" s="596">
        <f>O149-O152</f>
        <v>69156</v>
      </c>
      <c r="P151" s="596">
        <f>P149-P152</f>
        <v>69793</v>
      </c>
      <c r="Q151" s="596">
        <f>Q149-Q152</f>
        <v>87818</v>
      </c>
      <c r="R151" s="596">
        <f>R149-R152</f>
        <v>130624.02125000001</v>
      </c>
      <c r="S151" s="2"/>
    </row>
    <row r="152" spans="1:19" ht="15">
      <c r="A152" s="523"/>
      <c r="C152" t="s">
        <v>965</v>
      </c>
      <c r="F152" s="14">
        <f t="shared" ref="F152:N152" si="52">F149-F150</f>
        <v>14452</v>
      </c>
      <c r="G152" s="14">
        <f t="shared" si="52"/>
        <v>50883</v>
      </c>
      <c r="H152" s="14">
        <f t="shared" si="52"/>
        <v>52245</v>
      </c>
      <c r="I152" s="14">
        <f t="shared" si="52"/>
        <v>56319</v>
      </c>
      <c r="J152" s="14">
        <f t="shared" si="52"/>
        <v>60597</v>
      </c>
      <c r="K152" s="14">
        <f t="shared" si="52"/>
        <v>59634</v>
      </c>
      <c r="L152" s="14">
        <f t="shared" si="52"/>
        <v>66883</v>
      </c>
      <c r="M152" s="14">
        <f t="shared" si="52"/>
        <v>63807</v>
      </c>
      <c r="N152" s="14">
        <f t="shared" si="52"/>
        <v>65925</v>
      </c>
      <c r="O152" s="598">
        <v>70400</v>
      </c>
      <c r="P152" s="599">
        <v>80000</v>
      </c>
      <c r="Q152" s="599">
        <v>86500</v>
      </c>
      <c r="R152" s="599">
        <v>78658.978749999995</v>
      </c>
      <c r="S152" s="2" t="s">
        <v>966</v>
      </c>
    </row>
    <row r="153" spans="1:19">
      <c r="A153" s="523"/>
      <c r="C153" t="s">
        <v>967</v>
      </c>
      <c r="F153" s="14">
        <f>F150</f>
        <v>0</v>
      </c>
      <c r="G153" s="588">
        <f>F153+G150</f>
        <v>-1992</v>
      </c>
      <c r="H153" s="588">
        <f t="shared" ref="H153:N153" si="53">G153+H150</f>
        <v>-2065</v>
      </c>
      <c r="I153" s="588">
        <f t="shared" si="53"/>
        <v>200</v>
      </c>
      <c r="J153" s="588">
        <f t="shared" si="53"/>
        <v>-711</v>
      </c>
      <c r="K153" s="588">
        <f t="shared" si="53"/>
        <v>14200</v>
      </c>
      <c r="L153" s="588">
        <f t="shared" si="53"/>
        <v>28626</v>
      </c>
      <c r="M153" s="588">
        <f t="shared" si="53"/>
        <v>42255</v>
      </c>
      <c r="N153" s="588">
        <f t="shared" si="53"/>
        <v>83462</v>
      </c>
      <c r="O153" s="588">
        <f>N153+O151</f>
        <v>152618</v>
      </c>
      <c r="P153" s="588">
        <f>O153+P151</f>
        <v>222411</v>
      </c>
      <c r="Q153" s="588">
        <f>P153+Q151</f>
        <v>310229</v>
      </c>
      <c r="R153" s="588">
        <f>Q153+R151</f>
        <v>440853.02124999999</v>
      </c>
      <c r="S153" s="2"/>
    </row>
    <row r="154" spans="1:19">
      <c r="A154" s="523"/>
      <c r="C154" t="s">
        <v>968</v>
      </c>
      <c r="F154" s="14">
        <f>F144</f>
        <v>2089995</v>
      </c>
      <c r="G154" s="14">
        <f t="shared" ref="G154:R154" si="54">G144</f>
        <v>2183976</v>
      </c>
      <c r="H154" s="14">
        <f t="shared" si="54"/>
        <v>2424734</v>
      </c>
      <c r="I154" s="14">
        <f t="shared" si="54"/>
        <v>2481003</v>
      </c>
      <c r="J154" s="14">
        <f t="shared" si="54"/>
        <v>2851663</v>
      </c>
      <c r="K154" s="14">
        <f t="shared" si="54"/>
        <v>3015276</v>
      </c>
      <c r="L154" s="14">
        <f t="shared" si="54"/>
        <v>3316882</v>
      </c>
      <c r="M154" s="14">
        <f t="shared" si="54"/>
        <v>2366206</v>
      </c>
      <c r="N154" s="14">
        <f t="shared" si="54"/>
        <v>2431467</v>
      </c>
      <c r="O154" s="14">
        <f t="shared" si="54"/>
        <v>2683192</v>
      </c>
      <c r="P154" s="14">
        <f t="shared" si="54"/>
        <v>3140208</v>
      </c>
      <c r="Q154" s="14">
        <f t="shared" si="54"/>
        <v>3153665</v>
      </c>
      <c r="R154" s="14">
        <f t="shared" si="54"/>
        <v>2567010</v>
      </c>
    </row>
    <row r="155" spans="1:19">
      <c r="A155" s="523"/>
      <c r="C155" t="s">
        <v>969</v>
      </c>
      <c r="F155" s="14"/>
      <c r="G155" s="121">
        <f>G152/((G154+F154)/2)</f>
        <v>2.3810643544375943E-2</v>
      </c>
      <c r="H155" s="121">
        <f t="shared" ref="H155:N155" si="55">H152/((H154+G154)/2)</f>
        <v>2.2672287907028212E-2</v>
      </c>
      <c r="I155" s="121">
        <f t="shared" si="55"/>
        <v>2.2960464452130229E-2</v>
      </c>
      <c r="J155" s="121">
        <f t="shared" si="55"/>
        <v>2.2726718680674919E-2</v>
      </c>
      <c r="K155" s="121">
        <f t="shared" si="55"/>
        <v>2.0328829053787672E-2</v>
      </c>
      <c r="L155" s="121">
        <f t="shared" si="55"/>
        <v>2.1124867699131956E-2</v>
      </c>
      <c r="M155" s="121">
        <f t="shared" si="55"/>
        <v>2.2455045566776372E-2</v>
      </c>
      <c r="N155" s="121">
        <f t="shared" si="55"/>
        <v>2.7482073080011913E-2</v>
      </c>
    </row>
    <row r="156" spans="1:19">
      <c r="A156" s="523"/>
      <c r="C156" t="s">
        <v>969</v>
      </c>
      <c r="D156" s="14"/>
      <c r="E156" s="14"/>
      <c r="F156" s="18"/>
      <c r="G156" s="18"/>
      <c r="H156" s="18"/>
      <c r="I156" s="18"/>
      <c r="J156" s="18"/>
      <c r="K156" s="18"/>
      <c r="L156" s="18"/>
      <c r="M156" s="18"/>
      <c r="N156" s="18"/>
      <c r="O156" s="600">
        <f>O152/((O154+N154)/2)</f>
        <v>2.7528716968227989E-2</v>
      </c>
      <c r="P156" s="600">
        <f>P152/((P154+O154)/2)</f>
        <v>2.7475358038259436E-2</v>
      </c>
      <c r="Q156" s="600">
        <f>Q152/((Q154+P154)/2)</f>
        <v>2.7487049706913375E-2</v>
      </c>
      <c r="R156" s="600">
        <f>R152/((R154+Q154)/2)</f>
        <v>2.7499894243249265E-2</v>
      </c>
    </row>
    <row r="157" spans="1:19">
      <c r="A157" s="523">
        <v>4</v>
      </c>
      <c r="C157" s="88" t="s">
        <v>970</v>
      </c>
      <c r="D157" s="88"/>
      <c r="E157" s="88"/>
      <c r="G157" s="648">
        <f>G149/(F131+G131)/2</f>
        <v>5.6173514126620257E-3</v>
      </c>
      <c r="H157" s="648">
        <f t="shared" ref="H157:R157" si="56">H149/(G131+H131)/2</f>
        <v>5.7309297085631327E-3</v>
      </c>
      <c r="I157" s="648">
        <f t="shared" si="56"/>
        <v>6.1076087602442456E-3</v>
      </c>
      <c r="J157" s="648">
        <f t="shared" si="56"/>
        <v>5.0433295743124293E-3</v>
      </c>
      <c r="K157" s="648">
        <f t="shared" si="56"/>
        <v>5.4104031575938774E-3</v>
      </c>
      <c r="L157" s="648">
        <f t="shared" si="56"/>
        <v>5.5096767810786252E-3</v>
      </c>
      <c r="M157" s="648">
        <f t="shared" si="56"/>
        <v>4.4759762224601107E-3</v>
      </c>
      <c r="N157" s="648">
        <f t="shared" si="56"/>
        <v>4.8614708603984796E-3</v>
      </c>
      <c r="O157" s="648">
        <f t="shared" si="56"/>
        <v>5.5486189204581324E-3</v>
      </c>
      <c r="P157" s="648">
        <f t="shared" si="56"/>
        <v>5.8966959245156155E-3</v>
      </c>
      <c r="Q157" s="648">
        <f t="shared" si="56"/>
        <v>6.047316982262619E-3</v>
      </c>
      <c r="R157" s="648">
        <f t="shared" si="56"/>
        <v>6.7133734718537001E-3</v>
      </c>
    </row>
    <row r="158" spans="1:19">
      <c r="A158" s="523"/>
      <c r="C158" s="16" t="s">
        <v>971</v>
      </c>
      <c r="F158" s="636">
        <v>1999</v>
      </c>
      <c r="G158" s="640"/>
      <c r="H158" s="640"/>
      <c r="I158" s="640"/>
      <c r="J158" s="640"/>
      <c r="K158" s="640"/>
      <c r="L158" s="640"/>
      <c r="M158" s="640"/>
      <c r="N158" s="640"/>
      <c r="O158" s="640"/>
      <c r="P158" s="640"/>
      <c r="Q158" s="14"/>
    </row>
    <row r="159" spans="1:19">
      <c r="A159" s="523"/>
      <c r="C159" s="1" t="s">
        <v>972</v>
      </c>
      <c r="F159" s="2"/>
      <c r="G159" s="2"/>
      <c r="H159" s="2"/>
      <c r="I159" s="2"/>
      <c r="L159" s="9"/>
      <c r="M159" s="9"/>
      <c r="N159" s="9"/>
      <c r="O159" s="9"/>
    </row>
    <row r="160" spans="1:19">
      <c r="A160" s="523"/>
      <c r="C160" s="649">
        <v>2000</v>
      </c>
      <c r="D160" s="4"/>
      <c r="E160" s="4"/>
      <c r="F160" s="3"/>
      <c r="G160" s="13">
        <f>C160</f>
        <v>2000</v>
      </c>
      <c r="K160" s="3"/>
      <c r="L160" s="9"/>
      <c r="M160" s="9"/>
      <c r="N160" s="19"/>
      <c r="O160" s="9"/>
    </row>
    <row r="161" spans="1:15">
      <c r="A161" s="523"/>
      <c r="C161" s="16" t="s">
        <v>971</v>
      </c>
      <c r="F161" s="2"/>
      <c r="G161" s="2"/>
      <c r="H161" s="2"/>
      <c r="I161" s="2"/>
      <c r="L161" s="9"/>
      <c r="M161" s="9"/>
      <c r="N161" s="9"/>
      <c r="O161" s="9"/>
    </row>
    <row r="162" spans="1:15">
      <c r="A162" s="523"/>
      <c r="C162" s="1" t="s">
        <v>973</v>
      </c>
      <c r="F162" s="2"/>
      <c r="G162" s="9">
        <f>G133</f>
        <v>77813</v>
      </c>
      <c r="H162" s="2"/>
      <c r="I162" s="2"/>
      <c r="K162" s="3"/>
      <c r="L162" s="9"/>
      <c r="M162" s="9"/>
      <c r="N162" s="9"/>
      <c r="O162" s="9"/>
    </row>
    <row r="163" spans="1:15">
      <c r="A163" s="523"/>
      <c r="C163" t="s">
        <v>974</v>
      </c>
      <c r="F163" s="2"/>
      <c r="G163" s="14">
        <v>-1992</v>
      </c>
      <c r="H163" s="2" t="s">
        <v>975</v>
      </c>
      <c r="I163" s="2"/>
      <c r="K163" s="650"/>
      <c r="L163" s="9"/>
      <c r="M163" s="9"/>
      <c r="N163" s="9"/>
      <c r="O163" s="9"/>
    </row>
    <row r="164" spans="1:15">
      <c r="A164" s="523"/>
      <c r="C164" t="s">
        <v>976</v>
      </c>
      <c r="F164" s="2"/>
      <c r="G164" s="17">
        <f>G163/G162</f>
        <v>-2.5599835503065039E-2</v>
      </c>
      <c r="H164" s="2"/>
      <c r="I164" s="2"/>
      <c r="K164" s="17"/>
      <c r="L164" s="9"/>
      <c r="M164" s="9"/>
      <c r="N164" s="9"/>
      <c r="O164" s="9"/>
    </row>
    <row r="165" spans="1:15">
      <c r="A165" s="523"/>
      <c r="C165" t="s">
        <v>977</v>
      </c>
      <c r="G165" s="14">
        <f>G162</f>
        <v>77813</v>
      </c>
      <c r="K165" s="14"/>
      <c r="L165" s="9"/>
      <c r="M165" s="9"/>
      <c r="N165" s="9"/>
      <c r="O165" s="9"/>
    </row>
    <row r="166" spans="1:15">
      <c r="A166" s="523"/>
      <c r="C166" t="s">
        <v>978</v>
      </c>
      <c r="G166" s="14">
        <f>G163</f>
        <v>-1992</v>
      </c>
      <c r="K166" s="393"/>
      <c r="L166" s="9"/>
      <c r="M166" s="9"/>
      <c r="N166" s="9"/>
      <c r="O166" s="9"/>
    </row>
    <row r="167" spans="1:15">
      <c r="A167" s="523"/>
      <c r="C167" s="1" t="s">
        <v>12</v>
      </c>
      <c r="G167" s="3" t="s">
        <v>808</v>
      </c>
      <c r="K167" s="3"/>
      <c r="L167" s="9"/>
      <c r="M167" s="9"/>
      <c r="N167" s="9"/>
      <c r="O167" s="9"/>
    </row>
    <row r="168" spans="1:15">
      <c r="A168" s="523"/>
      <c r="C168" s="649">
        <v>2001</v>
      </c>
      <c r="D168" s="4"/>
      <c r="E168" s="4"/>
      <c r="F168" s="2"/>
      <c r="H168" s="13">
        <f>C168</f>
        <v>2001</v>
      </c>
      <c r="I168" s="9"/>
      <c r="L168" s="9"/>
      <c r="M168" s="9"/>
      <c r="N168" s="9"/>
      <c r="O168" s="9"/>
    </row>
    <row r="169" spans="1:15">
      <c r="A169" s="523"/>
      <c r="C169" s="16" t="s">
        <v>971</v>
      </c>
      <c r="F169" s="2"/>
      <c r="G169" s="9"/>
      <c r="H169" s="9"/>
      <c r="I169" s="9"/>
      <c r="L169" s="9"/>
      <c r="M169" s="9"/>
      <c r="N169" s="9"/>
      <c r="O169" s="9"/>
    </row>
    <row r="170" spans="1:15">
      <c r="A170" s="523"/>
      <c r="C170" t="s">
        <v>977</v>
      </c>
      <c r="H170" s="14">
        <f>H133</f>
        <v>77813</v>
      </c>
      <c r="K170" s="14"/>
      <c r="L170" s="9"/>
      <c r="M170" s="9"/>
      <c r="N170" s="9"/>
      <c r="O170" s="9"/>
    </row>
    <row r="171" spans="1:15">
      <c r="A171" s="523"/>
      <c r="C171" t="s">
        <v>978</v>
      </c>
      <c r="H171" s="14">
        <v>-73</v>
      </c>
      <c r="I171" s="2" t="s">
        <v>975</v>
      </c>
      <c r="K171" s="14"/>
      <c r="L171" s="9"/>
      <c r="M171" s="9"/>
      <c r="N171" s="9"/>
      <c r="O171" s="9"/>
    </row>
    <row r="172" spans="1:15">
      <c r="A172" s="523"/>
      <c r="C172" s="1" t="s">
        <v>12</v>
      </c>
      <c r="H172" s="3" t="s">
        <v>808</v>
      </c>
      <c r="K172" s="3"/>
      <c r="L172" s="9"/>
      <c r="M172" s="9"/>
      <c r="N172" s="9"/>
      <c r="O172" s="9"/>
    </row>
    <row r="173" spans="1:15">
      <c r="A173" s="523"/>
      <c r="C173" s="649">
        <v>2002</v>
      </c>
      <c r="D173" s="4"/>
      <c r="E173" s="4"/>
      <c r="F173" s="2"/>
      <c r="H173" s="9"/>
      <c r="I173" s="13">
        <f>C173</f>
        <v>2002</v>
      </c>
      <c r="L173" s="9"/>
      <c r="M173" s="9"/>
      <c r="N173" s="9"/>
      <c r="O173" s="9"/>
    </row>
    <row r="174" spans="1:15">
      <c r="A174" s="523"/>
      <c r="C174" s="16" t="s">
        <v>971</v>
      </c>
      <c r="F174" s="2"/>
      <c r="G174" s="9"/>
      <c r="H174" s="9"/>
      <c r="I174" s="9"/>
      <c r="L174" s="9"/>
      <c r="M174" s="9"/>
      <c r="N174" s="9"/>
      <c r="O174" s="9"/>
    </row>
    <row r="175" spans="1:15">
      <c r="A175" s="523"/>
      <c r="C175" t="s">
        <v>977</v>
      </c>
      <c r="I175" s="14">
        <f>I133</f>
        <v>77802</v>
      </c>
      <c r="L175" s="9"/>
      <c r="M175" s="9"/>
      <c r="N175" s="9"/>
      <c r="O175" s="9"/>
    </row>
    <row r="176" spans="1:15">
      <c r="A176" s="523"/>
      <c r="C176" t="s">
        <v>978</v>
      </c>
      <c r="I176" s="14">
        <v>2265</v>
      </c>
      <c r="L176" s="9"/>
      <c r="M176" s="9"/>
      <c r="N176" s="9"/>
      <c r="O176" s="9"/>
    </row>
    <row r="177" spans="1:16">
      <c r="A177" s="523"/>
      <c r="C177" s="1" t="s">
        <v>12</v>
      </c>
      <c r="I177" s="3" t="s">
        <v>808</v>
      </c>
      <c r="L177" s="9"/>
      <c r="M177" s="9"/>
      <c r="N177" s="9"/>
      <c r="O177" s="9"/>
    </row>
    <row r="178" spans="1:16">
      <c r="A178" s="523"/>
      <c r="C178" s="649">
        <v>2003</v>
      </c>
      <c r="D178" s="4"/>
      <c r="E178" s="4"/>
      <c r="F178" s="2"/>
      <c r="H178" s="9"/>
      <c r="I178" s="9"/>
      <c r="J178" s="13">
        <f>C178</f>
        <v>2003</v>
      </c>
      <c r="K178" s="9"/>
      <c r="L178" s="9"/>
      <c r="M178" s="9"/>
      <c r="N178" s="9"/>
      <c r="O178" s="9"/>
    </row>
    <row r="179" spans="1:16">
      <c r="A179" s="523"/>
      <c r="C179" s="16" t="s">
        <v>971</v>
      </c>
      <c r="F179" s="2"/>
      <c r="G179" s="9"/>
      <c r="H179" s="9"/>
      <c r="I179" s="9"/>
      <c r="J179" s="9"/>
      <c r="K179" s="9"/>
      <c r="L179" s="9"/>
      <c r="M179" s="9"/>
      <c r="N179" s="9"/>
      <c r="O179" s="9"/>
      <c r="P179" s="9"/>
    </row>
    <row r="180" spans="1:16">
      <c r="A180" s="523"/>
      <c r="C180" s="1" t="s">
        <v>979</v>
      </c>
      <c r="F180" s="2"/>
      <c r="G180" s="9"/>
      <c r="H180" s="9"/>
      <c r="I180" s="9"/>
      <c r="J180" s="14">
        <f>J132</f>
        <v>600000</v>
      </c>
      <c r="K180" s="9"/>
      <c r="L180" s="9"/>
      <c r="M180" s="9"/>
      <c r="N180" s="9"/>
      <c r="O180" s="9"/>
      <c r="P180" s="9"/>
    </row>
    <row r="181" spans="1:16">
      <c r="A181" s="523"/>
      <c r="C181" t="s">
        <v>977</v>
      </c>
      <c r="F181" s="2"/>
      <c r="G181" s="9"/>
      <c r="H181" s="9"/>
      <c r="I181" s="9"/>
      <c r="J181" s="9">
        <f>J133</f>
        <v>677802</v>
      </c>
      <c r="K181" s="9"/>
      <c r="L181" s="9"/>
      <c r="M181" s="9"/>
      <c r="N181" s="9"/>
      <c r="O181" s="9"/>
      <c r="P181" s="9"/>
    </row>
    <row r="182" spans="1:16">
      <c r="A182" s="523"/>
      <c r="C182" t="s">
        <v>978</v>
      </c>
      <c r="F182" s="2"/>
      <c r="G182" s="9"/>
      <c r="H182" s="9"/>
      <c r="I182" s="9"/>
      <c r="J182" s="21">
        <v>-911</v>
      </c>
      <c r="K182" s="2" t="s">
        <v>975</v>
      </c>
      <c r="L182" s="9"/>
      <c r="M182" s="9"/>
      <c r="N182" s="9"/>
      <c r="O182" s="9"/>
      <c r="P182" s="9"/>
    </row>
    <row r="183" spans="1:16">
      <c r="A183" s="523"/>
      <c r="C183" s="1" t="s">
        <v>12</v>
      </c>
      <c r="J183" s="3" t="s">
        <v>808</v>
      </c>
    </row>
    <row r="184" spans="1:16">
      <c r="A184" s="523"/>
      <c r="C184" s="649">
        <v>2004</v>
      </c>
      <c r="D184" s="4"/>
      <c r="E184" s="4"/>
      <c r="F184" s="2"/>
      <c r="H184" s="9"/>
      <c r="I184" s="9"/>
      <c r="K184" s="13">
        <f>C184</f>
        <v>2004</v>
      </c>
    </row>
    <row r="185" spans="1:16">
      <c r="A185" s="523"/>
      <c r="C185" s="16" t="s">
        <v>971</v>
      </c>
      <c r="F185" s="2"/>
      <c r="G185" s="9"/>
      <c r="H185" s="9"/>
      <c r="I185" s="9"/>
    </row>
    <row r="186" spans="1:16">
      <c r="A186" s="523"/>
      <c r="C186" t="s">
        <v>974</v>
      </c>
      <c r="F186" s="2"/>
      <c r="G186" s="9"/>
      <c r="H186" s="9"/>
      <c r="I186" s="9"/>
      <c r="K186" s="650">
        <v>11300</v>
      </c>
    </row>
    <row r="187" spans="1:16">
      <c r="A187" s="523"/>
      <c r="C187" t="s">
        <v>976</v>
      </c>
      <c r="F187" s="2"/>
      <c r="G187" s="9"/>
      <c r="H187" s="9"/>
      <c r="I187" s="9"/>
      <c r="K187" s="651">
        <f>K186/J181</f>
        <v>1.667153534513029E-2</v>
      </c>
      <c r="L187" s="651"/>
    </row>
    <row r="188" spans="1:16">
      <c r="A188" s="523"/>
      <c r="C188" t="s">
        <v>977</v>
      </c>
      <c r="K188" s="14">
        <f>K133</f>
        <v>677802</v>
      </c>
    </row>
    <row r="189" spans="1:16">
      <c r="A189" s="523"/>
      <c r="C189" t="s">
        <v>978</v>
      </c>
      <c r="K189" s="393">
        <v>14911</v>
      </c>
    </row>
    <row r="190" spans="1:16">
      <c r="A190" s="523"/>
      <c r="C190" s="1" t="s">
        <v>12</v>
      </c>
      <c r="K190" s="3" t="s">
        <v>808</v>
      </c>
    </row>
    <row r="191" spans="1:16">
      <c r="A191" s="523"/>
      <c r="C191" s="649">
        <v>2005</v>
      </c>
      <c r="D191" s="4"/>
      <c r="E191" s="4"/>
      <c r="L191" s="13">
        <f>C191</f>
        <v>2005</v>
      </c>
    </row>
    <row r="192" spans="1:16">
      <c r="A192" s="523"/>
      <c r="C192" s="16" t="s">
        <v>971</v>
      </c>
    </row>
    <row r="193" spans="1:17">
      <c r="A193" s="523"/>
      <c r="C193" t="s">
        <v>977</v>
      </c>
      <c r="L193" s="14">
        <f>L133</f>
        <v>677802</v>
      </c>
    </row>
    <row r="194" spans="1:17">
      <c r="A194" s="523"/>
      <c r="C194" t="s">
        <v>978</v>
      </c>
      <c r="L194" s="393">
        <v>14426</v>
      </c>
    </row>
    <row r="195" spans="1:17">
      <c r="A195" s="523"/>
      <c r="C195" s="1" t="s">
        <v>12</v>
      </c>
      <c r="L195" s="3" t="s">
        <v>808</v>
      </c>
    </row>
    <row r="196" spans="1:17">
      <c r="A196" s="523"/>
      <c r="C196" s="649">
        <v>2006</v>
      </c>
      <c r="D196" s="4"/>
      <c r="E196" s="4"/>
      <c r="M196" s="13">
        <f>C196</f>
        <v>2006</v>
      </c>
      <c r="O196" s="283" t="s">
        <v>980</v>
      </c>
      <c r="P196" s="25"/>
      <c r="Q196" s="652">
        <v>760000</v>
      </c>
    </row>
    <row r="197" spans="1:17">
      <c r="A197" s="523"/>
      <c r="C197" s="16" t="s">
        <v>971</v>
      </c>
      <c r="O197" s="278" t="s">
        <v>74</v>
      </c>
      <c r="P197" s="4"/>
      <c r="Q197" s="653">
        <v>6050</v>
      </c>
    </row>
    <row r="198" spans="1:17">
      <c r="A198" s="523"/>
      <c r="C198" s="1" t="s">
        <v>981</v>
      </c>
      <c r="M198" s="14">
        <f>M132</f>
        <v>1800000</v>
      </c>
    </row>
    <row r="199" spans="1:17">
      <c r="A199" s="523"/>
      <c r="C199" t="s">
        <v>977</v>
      </c>
      <c r="M199" s="14">
        <f>M133</f>
        <v>2477802</v>
      </c>
    </row>
    <row r="200" spans="1:17">
      <c r="A200" s="523"/>
      <c r="C200" t="s">
        <v>978</v>
      </c>
      <c r="M200" s="393">
        <v>13629</v>
      </c>
      <c r="N200" s="20">
        <f>M200/L193</f>
        <v>2.0107642054759355E-2</v>
      </c>
    </row>
    <row r="201" spans="1:17">
      <c r="A201" s="523"/>
      <c r="C201" s="1" t="s">
        <v>12</v>
      </c>
      <c r="M201" s="3" t="s">
        <v>808</v>
      </c>
    </row>
    <row r="202" spans="1:17">
      <c r="A202" s="523"/>
      <c r="C202" s="649">
        <v>2007</v>
      </c>
      <c r="D202" s="4"/>
      <c r="E202" s="4"/>
      <c r="N202" s="13">
        <f>C202</f>
        <v>2007</v>
      </c>
    </row>
    <row r="203" spans="1:17">
      <c r="A203" s="523"/>
      <c r="C203" s="16" t="s">
        <v>971</v>
      </c>
    </row>
    <row r="204" spans="1:17">
      <c r="A204" s="523"/>
      <c r="C204" s="1" t="s">
        <v>982</v>
      </c>
      <c r="N204" s="14">
        <f>N132</f>
        <v>1455000</v>
      </c>
    </row>
    <row r="205" spans="1:17">
      <c r="A205" s="523"/>
      <c r="C205" t="s">
        <v>977</v>
      </c>
      <c r="N205" s="14">
        <f>M199+N204</f>
        <v>3932802</v>
      </c>
    </row>
    <row r="206" spans="1:17">
      <c r="A206" s="523"/>
      <c r="C206" t="s">
        <v>978</v>
      </c>
      <c r="N206" s="393">
        <v>41207</v>
      </c>
      <c r="O206" s="651">
        <f>N206/M199</f>
        <v>1.6630465226842178E-2</v>
      </c>
    </row>
    <row r="207" spans="1:17">
      <c r="A207" s="523"/>
      <c r="C207" s="1" t="s">
        <v>12</v>
      </c>
      <c r="N207" s="3" t="s">
        <v>808</v>
      </c>
    </row>
    <row r="208" spans="1:17">
      <c r="A208" s="523"/>
      <c r="C208" s="649">
        <v>2008</v>
      </c>
      <c r="D208" s="4"/>
      <c r="E208" s="4"/>
      <c r="O208" s="13">
        <f>C208</f>
        <v>2008</v>
      </c>
    </row>
    <row r="209" spans="1:18">
      <c r="A209" s="523"/>
      <c r="C209" s="16" t="s">
        <v>983</v>
      </c>
    </row>
    <row r="210" spans="1:18">
      <c r="A210" s="523"/>
      <c r="C210" s="1" t="s">
        <v>982</v>
      </c>
      <c r="O210" s="14">
        <f>O132</f>
        <v>0</v>
      </c>
    </row>
    <row r="211" spans="1:18">
      <c r="A211" s="523"/>
      <c r="C211" t="s">
        <v>977</v>
      </c>
      <c r="O211" s="14">
        <f>O133</f>
        <v>3932802</v>
      </c>
    </row>
    <row r="212" spans="1:18">
      <c r="A212" s="523"/>
      <c r="C212" t="s">
        <v>978</v>
      </c>
      <c r="O212" s="393"/>
    </row>
    <row r="213" spans="1:18">
      <c r="A213" s="523"/>
      <c r="C213" s="1" t="s">
        <v>12</v>
      </c>
      <c r="O213" s="3"/>
    </row>
    <row r="214" spans="1:18">
      <c r="A214" s="523"/>
      <c r="C214" s="649">
        <v>2009</v>
      </c>
      <c r="D214" s="4"/>
      <c r="E214" s="4"/>
      <c r="P214" s="13">
        <f>C214</f>
        <v>2009</v>
      </c>
    </row>
    <row r="215" spans="1:18">
      <c r="A215" s="523"/>
      <c r="C215" s="16" t="s">
        <v>983</v>
      </c>
    </row>
    <row r="216" spans="1:18">
      <c r="A216" s="523"/>
      <c r="C216" s="1" t="s">
        <v>982</v>
      </c>
      <c r="P216" s="14">
        <f>P132</f>
        <v>0</v>
      </c>
    </row>
    <row r="217" spans="1:18">
      <c r="A217" s="523"/>
      <c r="C217" t="s">
        <v>977</v>
      </c>
      <c r="P217" s="14">
        <f>P133</f>
        <v>3932802</v>
      </c>
    </row>
    <row r="218" spans="1:18">
      <c r="A218" s="523"/>
      <c r="C218" t="s">
        <v>978</v>
      </c>
      <c r="P218" s="217"/>
    </row>
    <row r="219" spans="1:18">
      <c r="A219" s="523"/>
      <c r="C219" s="649">
        <v>2010</v>
      </c>
      <c r="D219" s="4"/>
      <c r="E219" s="4"/>
      <c r="P219" s="217"/>
      <c r="Q219" s="13">
        <f>C219</f>
        <v>2010</v>
      </c>
    </row>
    <row r="220" spans="1:18">
      <c r="A220" s="523"/>
      <c r="C220" s="16" t="s">
        <v>983</v>
      </c>
      <c r="P220" s="217"/>
    </row>
    <row r="221" spans="1:18">
      <c r="A221" s="523"/>
      <c r="C221" s="1" t="s">
        <v>982</v>
      </c>
      <c r="P221" s="217"/>
      <c r="Q221" s="14">
        <f>Q132</f>
        <v>1213663</v>
      </c>
    </row>
    <row r="222" spans="1:18">
      <c r="A222" s="523"/>
      <c r="C222" t="s">
        <v>977</v>
      </c>
      <c r="P222" s="217"/>
      <c r="Q222" s="14">
        <f>Q133</f>
        <v>5146465</v>
      </c>
    </row>
    <row r="223" spans="1:18">
      <c r="A223" s="523"/>
      <c r="C223" t="s">
        <v>978</v>
      </c>
      <c r="P223" s="246"/>
    </row>
    <row r="224" spans="1:18">
      <c r="A224" s="523"/>
      <c r="C224" s="649">
        <v>2011</v>
      </c>
      <c r="D224" s="4"/>
      <c r="E224" s="4"/>
      <c r="P224" s="246"/>
      <c r="R224" s="13">
        <f>C224</f>
        <v>2011</v>
      </c>
    </row>
    <row r="225" spans="1:18">
      <c r="A225" s="523"/>
      <c r="C225" s="16" t="s">
        <v>983</v>
      </c>
      <c r="P225" s="246"/>
    </row>
    <row r="226" spans="1:18">
      <c r="A226" s="523"/>
      <c r="C226" s="1" t="s">
        <v>982</v>
      </c>
      <c r="P226" s="246"/>
      <c r="R226" s="14">
        <f>R132</f>
        <v>129673</v>
      </c>
    </row>
    <row r="227" spans="1:18">
      <c r="A227" s="523"/>
      <c r="C227" t="s">
        <v>977</v>
      </c>
      <c r="P227" s="246"/>
      <c r="R227" s="14">
        <f>R133</f>
        <v>5276138</v>
      </c>
    </row>
    <row r="228" spans="1:18">
      <c r="A228" s="523"/>
      <c r="C228" s="4" t="s">
        <v>978</v>
      </c>
      <c r="D228" s="4"/>
      <c r="E228" s="4"/>
      <c r="F228" s="4"/>
      <c r="G228" s="4"/>
      <c r="H228" s="4"/>
      <c r="I228" s="4"/>
      <c r="J228" s="4"/>
      <c r="K228" s="4"/>
      <c r="L228" s="4"/>
      <c r="M228" s="4"/>
      <c r="N228" s="4"/>
      <c r="O228" s="4"/>
      <c r="P228" s="218"/>
      <c r="Q228" s="4"/>
      <c r="R228" s="4"/>
    </row>
    <row r="229" spans="1:18">
      <c r="A229" s="523">
        <v>5</v>
      </c>
      <c r="C229" s="88" t="s">
        <v>984</v>
      </c>
      <c r="D229" s="88"/>
      <c r="E229" s="88"/>
      <c r="F229" s="636">
        <v>1999</v>
      </c>
      <c r="G229" s="636">
        <f>F229+1</f>
        <v>2000</v>
      </c>
      <c r="H229" s="636">
        <f t="shared" ref="H229:N229" si="57">G229+1</f>
        <v>2001</v>
      </c>
      <c r="I229" s="636">
        <f t="shared" si="57"/>
        <v>2002</v>
      </c>
      <c r="J229" s="636">
        <f t="shared" si="57"/>
        <v>2003</v>
      </c>
      <c r="K229" s="636">
        <f t="shared" si="57"/>
        <v>2004</v>
      </c>
      <c r="L229" s="636">
        <f t="shared" si="57"/>
        <v>2005</v>
      </c>
      <c r="M229" s="636">
        <f t="shared" si="57"/>
        <v>2006</v>
      </c>
      <c r="N229" s="636">
        <f t="shared" si="57"/>
        <v>2007</v>
      </c>
      <c r="O229" s="636">
        <f>N229+1</f>
        <v>2008</v>
      </c>
      <c r="P229" s="636">
        <f>O229+1</f>
        <v>2009</v>
      </c>
      <c r="Q229" s="636">
        <f>P229+1</f>
        <v>2010</v>
      </c>
      <c r="R229" s="636">
        <f>Q229+1</f>
        <v>2011</v>
      </c>
    </row>
    <row r="230" spans="1:18">
      <c r="A230" s="523"/>
      <c r="C230" t="s">
        <v>985</v>
      </c>
      <c r="F230" s="14">
        <v>0</v>
      </c>
      <c r="G230" s="14">
        <v>1561355</v>
      </c>
      <c r="H230" s="14">
        <v>1673151</v>
      </c>
      <c r="I230" s="14">
        <v>1618158</v>
      </c>
      <c r="J230" s="14">
        <v>1662247</v>
      </c>
      <c r="K230" s="14">
        <v>2299802</v>
      </c>
      <c r="L230" s="14">
        <v>2401779</v>
      </c>
      <c r="M230" s="14">
        <v>2469080</v>
      </c>
      <c r="N230" s="14">
        <v>3446755</v>
      </c>
      <c r="O230" s="14">
        <v>4401790</v>
      </c>
      <c r="P230" s="14">
        <v>4204632</v>
      </c>
      <c r="Q230" s="14">
        <f>P248</f>
        <v>4284128</v>
      </c>
      <c r="R230" s="14">
        <f>Q248</f>
        <v>5070684</v>
      </c>
    </row>
    <row r="231" spans="1:18">
      <c r="A231" s="523"/>
      <c r="F231" s="14"/>
      <c r="G231" s="14"/>
      <c r="H231" s="14"/>
      <c r="I231" s="14"/>
      <c r="J231" s="14"/>
      <c r="K231" s="14"/>
      <c r="L231" s="14"/>
      <c r="M231" s="14">
        <v>8691</v>
      </c>
      <c r="N231" s="14"/>
      <c r="O231" s="14"/>
      <c r="P231" s="14"/>
      <c r="Q231" s="14"/>
      <c r="R231" s="14"/>
    </row>
    <row r="232" spans="1:18">
      <c r="A232" s="523"/>
      <c r="C232" s="22" t="s">
        <v>986</v>
      </c>
      <c r="F232" s="14">
        <v>110340</v>
      </c>
      <c r="G232" s="14">
        <v>96334</v>
      </c>
      <c r="H232" s="14">
        <v>125100</v>
      </c>
      <c r="I232" s="14">
        <v>84046</v>
      </c>
      <c r="J232" s="14">
        <v>109314</v>
      </c>
      <c r="K232" s="14">
        <v>132905</v>
      </c>
      <c r="L232" s="14">
        <v>218228</v>
      </c>
      <c r="M232" s="654">
        <v>856836</v>
      </c>
      <c r="N232" s="14">
        <v>241230</v>
      </c>
      <c r="O232" s="14">
        <v>128678</v>
      </c>
      <c r="P232" s="14">
        <v>89263</v>
      </c>
      <c r="Q232" s="14">
        <v>184049</v>
      </c>
      <c r="R232" s="14">
        <v>303111</v>
      </c>
    </row>
    <row r="233" spans="1:18">
      <c r="A233" s="523"/>
      <c r="C233" s="22" t="s">
        <v>92</v>
      </c>
      <c r="F233" s="14"/>
      <c r="G233" s="14"/>
      <c r="H233" s="14"/>
      <c r="I233" s="14"/>
      <c r="J233" s="14"/>
      <c r="K233" s="14"/>
      <c r="L233" s="14"/>
      <c r="M233" s="14"/>
      <c r="N233" s="14"/>
      <c r="O233" s="14">
        <v>-116</v>
      </c>
      <c r="P233" s="14"/>
      <c r="Q233" s="14"/>
      <c r="R233" s="14"/>
    </row>
    <row r="234" spans="1:18">
      <c r="A234" s="523"/>
      <c r="C234" s="22" t="s">
        <v>334</v>
      </c>
      <c r="F234" s="14"/>
      <c r="G234" s="14"/>
      <c r="H234" s="14">
        <v>1387</v>
      </c>
      <c r="I234" s="14">
        <v>-8957</v>
      </c>
      <c r="J234" s="14">
        <v>5471</v>
      </c>
      <c r="K234" s="14">
        <v>-13528</v>
      </c>
      <c r="L234" s="14">
        <v>-2097</v>
      </c>
      <c r="M234" s="14">
        <v>-9159</v>
      </c>
      <c r="N234" s="14">
        <v>-2</v>
      </c>
      <c r="O234" s="14">
        <v>81</v>
      </c>
      <c r="P234" s="14">
        <v>255</v>
      </c>
      <c r="Q234" s="14">
        <v>-3060</v>
      </c>
      <c r="R234" s="14">
        <v>2065</v>
      </c>
    </row>
    <row r="235" spans="1:18">
      <c r="A235" s="523"/>
      <c r="C235" s="22" t="s">
        <v>198</v>
      </c>
      <c r="F235" s="14"/>
      <c r="G235" s="14"/>
      <c r="H235" s="14"/>
      <c r="I235" s="14"/>
      <c r="J235" s="14"/>
      <c r="K235" s="14"/>
      <c r="L235" s="14"/>
      <c r="M235" s="14"/>
      <c r="N235" s="14">
        <v>-18944</v>
      </c>
      <c r="O235" s="14">
        <v>-26668</v>
      </c>
      <c r="P235" s="14">
        <v>26896</v>
      </c>
      <c r="Q235" s="14">
        <v>-24279</v>
      </c>
      <c r="R235" s="14">
        <v>-1217</v>
      </c>
    </row>
    <row r="236" spans="1:18">
      <c r="A236" s="523"/>
      <c r="C236" s="22" t="s">
        <v>987</v>
      </c>
      <c r="F236" s="14"/>
      <c r="G236" s="14"/>
      <c r="H236" s="14"/>
      <c r="I236" s="14"/>
      <c r="J236" s="14"/>
      <c r="K236" s="14"/>
      <c r="L236" s="14"/>
      <c r="M236" s="14"/>
      <c r="N236" s="14"/>
      <c r="O236" s="14"/>
      <c r="P236" s="14"/>
      <c r="Q236" s="14">
        <v>33087</v>
      </c>
      <c r="R236" s="14"/>
    </row>
    <row r="237" spans="1:18">
      <c r="A237" s="523"/>
      <c r="C237" s="22" t="s">
        <v>258</v>
      </c>
      <c r="F237" s="14"/>
      <c r="G237" s="14"/>
      <c r="H237" s="14"/>
      <c r="I237" s="14"/>
      <c r="J237" s="14"/>
      <c r="K237" s="14"/>
      <c r="L237" s="14"/>
      <c r="M237" s="14"/>
      <c r="N237" s="14">
        <v>538</v>
      </c>
      <c r="O237" s="14">
        <v>-2217</v>
      </c>
      <c r="P237" s="14">
        <v>1258</v>
      </c>
      <c r="Q237" s="14">
        <v>8</v>
      </c>
      <c r="R237" s="14">
        <v>-311</v>
      </c>
    </row>
    <row r="238" spans="1:18">
      <c r="A238" s="523"/>
      <c r="C238" s="655" t="s">
        <v>24</v>
      </c>
      <c r="D238" s="28"/>
      <c r="E238" s="28"/>
      <c r="F238" s="14"/>
      <c r="G238" s="619">
        <v>77813</v>
      </c>
      <c r="H238" s="617"/>
      <c r="I238" s="617"/>
      <c r="J238" s="619">
        <v>600000</v>
      </c>
      <c r="K238" s="617"/>
      <c r="L238" s="617"/>
      <c r="M238" s="619">
        <v>1800000</v>
      </c>
      <c r="N238" s="619">
        <v>1455000</v>
      </c>
      <c r="O238" s="617"/>
      <c r="P238" s="617"/>
      <c r="Q238" s="619">
        <v>1213663</v>
      </c>
      <c r="R238" s="619">
        <v>129673</v>
      </c>
    </row>
    <row r="239" spans="1:18">
      <c r="A239" s="523"/>
      <c r="C239" s="655" t="s">
        <v>988</v>
      </c>
      <c r="D239" s="28"/>
      <c r="E239" s="28"/>
      <c r="F239" s="14"/>
      <c r="G239" s="14"/>
      <c r="H239" s="14"/>
      <c r="I239" s="14"/>
      <c r="J239" s="14"/>
      <c r="K239" s="14"/>
      <c r="L239" s="14"/>
      <c r="M239" s="14"/>
      <c r="N239" s="14">
        <v>7006</v>
      </c>
      <c r="O239" s="14"/>
      <c r="P239" s="14"/>
      <c r="Q239" s="14"/>
      <c r="R239" s="14"/>
    </row>
    <row r="240" spans="1:18">
      <c r="A240" s="523"/>
      <c r="C240" s="655" t="s">
        <v>12</v>
      </c>
      <c r="D240" s="28"/>
      <c r="E240" s="28"/>
      <c r="F240" s="14"/>
      <c r="G240" s="14"/>
      <c r="H240" s="14"/>
      <c r="I240" s="14"/>
      <c r="J240" s="14"/>
      <c r="K240" s="14"/>
      <c r="L240" s="14"/>
      <c r="M240" s="14"/>
      <c r="N240" s="619">
        <v>-476073</v>
      </c>
      <c r="O240" s="14"/>
      <c r="P240" s="14"/>
      <c r="Q240" s="14"/>
      <c r="R240" s="14"/>
    </row>
    <row r="241" spans="1:19">
      <c r="A241" s="523"/>
      <c r="C241" s="655" t="s">
        <v>989</v>
      </c>
      <c r="D241" s="28"/>
      <c r="E241" s="28"/>
      <c r="F241" s="14"/>
      <c r="G241" s="14"/>
      <c r="H241" s="14"/>
      <c r="I241" s="14"/>
      <c r="J241" s="14"/>
      <c r="K241" s="14"/>
      <c r="L241" s="14"/>
      <c r="M241" s="14"/>
      <c r="N241" s="619">
        <v>114173</v>
      </c>
      <c r="O241" s="14"/>
      <c r="P241" s="14"/>
      <c r="Q241" s="619">
        <v>103299</v>
      </c>
      <c r="R241" s="619">
        <v>2580</v>
      </c>
    </row>
    <row r="242" spans="1:19">
      <c r="A242" s="523"/>
      <c r="C242" s="655" t="s">
        <v>990</v>
      </c>
      <c r="D242" s="28"/>
      <c r="E242" s="28"/>
      <c r="F242" s="14"/>
      <c r="G242" s="14"/>
      <c r="H242" s="14"/>
      <c r="I242" s="14"/>
      <c r="J242" s="14"/>
      <c r="K242" s="14"/>
      <c r="L242" s="14"/>
      <c r="M242" s="14"/>
      <c r="N242" s="617"/>
      <c r="O242" s="14"/>
      <c r="P242" s="14"/>
      <c r="Q242" s="617"/>
      <c r="R242" s="619">
        <v>147153</v>
      </c>
    </row>
    <row r="243" spans="1:19">
      <c r="A243" s="523"/>
      <c r="C243" s="22" t="s">
        <v>991</v>
      </c>
      <c r="F243" s="14">
        <v>1600000</v>
      </c>
      <c r="G243" s="14"/>
      <c r="H243" s="14"/>
      <c r="I243" s="14"/>
      <c r="J243" s="14"/>
      <c r="K243" s="14"/>
      <c r="L243" s="14"/>
      <c r="M243" s="14"/>
      <c r="N243" s="14"/>
      <c r="O243" s="14"/>
      <c r="P243" s="14"/>
      <c r="Q243" s="14"/>
      <c r="R243" s="14"/>
    </row>
    <row r="244" spans="1:19">
      <c r="A244" s="523"/>
      <c r="C244" s="22" t="s">
        <v>992</v>
      </c>
      <c r="F244" s="18"/>
      <c r="G244" s="18"/>
      <c r="H244" s="18"/>
      <c r="I244" s="18"/>
      <c r="J244" s="18"/>
      <c r="K244" s="18"/>
      <c r="L244" s="18"/>
      <c r="M244" s="18"/>
      <c r="N244" s="18"/>
      <c r="O244" s="18"/>
      <c r="P244" s="18">
        <v>-8274</v>
      </c>
      <c r="Q244" s="18">
        <v>-366738</v>
      </c>
      <c r="R244" s="18">
        <v>-38691</v>
      </c>
    </row>
    <row r="245" spans="1:19">
      <c r="A245" s="523"/>
      <c r="C245" s="22"/>
      <c r="F245" s="14">
        <f>SUM(F231:F244)</f>
        <v>1710340</v>
      </c>
      <c r="G245" s="14">
        <f t="shared" ref="G245:R245" si="58">SUM(G231:G244)</f>
        <v>174147</v>
      </c>
      <c r="H245" s="14">
        <f t="shared" si="58"/>
        <v>126487</v>
      </c>
      <c r="I245" s="14">
        <f t="shared" si="58"/>
        <v>75089</v>
      </c>
      <c r="J245" s="14">
        <f t="shared" si="58"/>
        <v>714785</v>
      </c>
      <c r="K245" s="14">
        <f t="shared" si="58"/>
        <v>119377</v>
      </c>
      <c r="L245" s="14">
        <f t="shared" si="58"/>
        <v>216131</v>
      </c>
      <c r="M245" s="14">
        <f t="shared" si="58"/>
        <v>2656368</v>
      </c>
      <c r="N245" s="14">
        <f t="shared" si="58"/>
        <v>1322928</v>
      </c>
      <c r="O245" s="14">
        <f t="shared" si="58"/>
        <v>99758</v>
      </c>
      <c r="P245" s="14">
        <f t="shared" si="58"/>
        <v>109398</v>
      </c>
      <c r="Q245" s="14">
        <f t="shared" si="58"/>
        <v>1140029</v>
      </c>
      <c r="R245" s="14">
        <f t="shared" si="58"/>
        <v>544363</v>
      </c>
    </row>
    <row r="246" spans="1:19">
      <c r="A246" s="523"/>
      <c r="C246" s="22" t="s">
        <v>993</v>
      </c>
      <c r="F246" s="14"/>
      <c r="G246" s="14"/>
      <c r="H246" s="14"/>
      <c r="I246" s="14"/>
      <c r="J246" s="14"/>
      <c r="K246" s="14"/>
      <c r="L246" s="14"/>
      <c r="M246" s="14"/>
      <c r="N246" s="14"/>
      <c r="O246" s="14">
        <v>981</v>
      </c>
      <c r="P246" s="14">
        <v>98</v>
      </c>
      <c r="Q246" s="14">
        <v>19</v>
      </c>
      <c r="R246" s="14">
        <v>-101</v>
      </c>
    </row>
    <row r="247" spans="1:19">
      <c r="A247" s="523"/>
      <c r="C247" s="22" t="s">
        <v>269</v>
      </c>
      <c r="F247" s="14">
        <v>-148985</v>
      </c>
      <c r="G247" s="14">
        <v>-62351</v>
      </c>
      <c r="H247" s="14">
        <v>-181480</v>
      </c>
      <c r="I247" s="14">
        <v>-31000</v>
      </c>
      <c r="J247" s="14">
        <v>-77230</v>
      </c>
      <c r="K247" s="14">
        <v>-17400</v>
      </c>
      <c r="L247" s="14">
        <v>-148830</v>
      </c>
      <c r="M247" s="14">
        <v>-879406</v>
      </c>
      <c r="N247" s="14">
        <v>-367893</v>
      </c>
      <c r="O247" s="14">
        <v>-297897</v>
      </c>
      <c r="P247" s="14">
        <v>-30000</v>
      </c>
      <c r="Q247" s="14">
        <v>-353492</v>
      </c>
      <c r="R247" s="14">
        <v>-683644</v>
      </c>
    </row>
    <row r="248" spans="1:19" ht="13.5" thickBot="1">
      <c r="A248" s="523"/>
      <c r="C248" t="s">
        <v>994</v>
      </c>
      <c r="F248" s="489">
        <f t="shared" ref="F248:R248" si="59">F230+F245+F246+F247</f>
        <v>1561355</v>
      </c>
      <c r="G248" s="489">
        <f t="shared" si="59"/>
        <v>1673151</v>
      </c>
      <c r="H248" s="489">
        <f t="shared" si="59"/>
        <v>1618158</v>
      </c>
      <c r="I248" s="489">
        <f t="shared" si="59"/>
        <v>1662247</v>
      </c>
      <c r="J248" s="489">
        <f t="shared" si="59"/>
        <v>2299802</v>
      </c>
      <c r="K248" s="489">
        <f t="shared" si="59"/>
        <v>2401779</v>
      </c>
      <c r="L248" s="489">
        <f t="shared" si="59"/>
        <v>2469080</v>
      </c>
      <c r="M248" s="489">
        <f t="shared" si="59"/>
        <v>4246042</v>
      </c>
      <c r="N248" s="489">
        <f t="shared" si="59"/>
        <v>4401790</v>
      </c>
      <c r="O248" s="489">
        <f t="shared" si="59"/>
        <v>4204632</v>
      </c>
      <c r="P248" s="489">
        <f t="shared" si="59"/>
        <v>4284128</v>
      </c>
      <c r="Q248" s="489">
        <f t="shared" si="59"/>
        <v>5070684</v>
      </c>
      <c r="R248" s="489">
        <f t="shared" si="59"/>
        <v>4931302</v>
      </c>
      <c r="S248" s="14">
        <f>R248-R52</f>
        <v>898</v>
      </c>
    </row>
    <row r="249" spans="1:19" ht="13.5" thickTop="1">
      <c r="A249" s="523">
        <v>6</v>
      </c>
      <c r="C249" s="656" t="s">
        <v>995</v>
      </c>
      <c r="D249" s="656"/>
      <c r="E249" s="656"/>
      <c r="F249" s="636">
        <v>1999</v>
      </c>
      <c r="G249" s="636">
        <f>F249+1</f>
        <v>2000</v>
      </c>
      <c r="H249" s="636">
        <f t="shared" ref="H249:N249" si="60">G249+1</f>
        <v>2001</v>
      </c>
      <c r="I249" s="636">
        <f t="shared" si="60"/>
        <v>2002</v>
      </c>
      <c r="J249" s="636">
        <f t="shared" si="60"/>
        <v>2003</v>
      </c>
      <c r="K249" s="636">
        <f t="shared" si="60"/>
        <v>2004</v>
      </c>
      <c r="L249" s="636">
        <f t="shared" si="60"/>
        <v>2005</v>
      </c>
      <c r="M249" s="636">
        <f t="shared" si="60"/>
        <v>2006</v>
      </c>
      <c r="N249" s="636">
        <f t="shared" si="60"/>
        <v>2007</v>
      </c>
      <c r="O249" s="636">
        <f>N249+1</f>
        <v>2008</v>
      </c>
      <c r="P249" s="636">
        <f>O249+1</f>
        <v>2009</v>
      </c>
      <c r="Q249" s="636">
        <f>P249+1</f>
        <v>2010</v>
      </c>
      <c r="R249" s="636">
        <f>Q249+1</f>
        <v>2011</v>
      </c>
    </row>
    <row r="250" spans="1:19">
      <c r="A250" s="523"/>
      <c r="C250" t="s">
        <v>326</v>
      </c>
      <c r="F250" s="9">
        <f t="shared" ref="F250:R250" si="61">F40</f>
        <v>5014</v>
      </c>
      <c r="G250" s="9">
        <f t="shared" si="61"/>
        <v>28728</v>
      </c>
      <c r="H250" s="9">
        <f t="shared" si="61"/>
        <v>66401</v>
      </c>
      <c r="I250" s="9">
        <f t="shared" si="61"/>
        <v>92031</v>
      </c>
      <c r="J250" s="9">
        <f t="shared" si="61"/>
        <v>138871</v>
      </c>
      <c r="K250" s="9">
        <f t="shared" si="61"/>
        <v>145260</v>
      </c>
      <c r="L250" s="9">
        <f t="shared" si="61"/>
        <v>179168</v>
      </c>
      <c r="M250" s="9">
        <f t="shared" si="61"/>
        <v>970959</v>
      </c>
      <c r="N250" s="9">
        <f t="shared" si="61"/>
        <v>1331772</v>
      </c>
      <c r="O250" s="9">
        <f t="shared" si="61"/>
        <v>1329478</v>
      </c>
      <c r="P250" s="9">
        <f t="shared" si="61"/>
        <v>1301231</v>
      </c>
      <c r="Q250" s="9">
        <f t="shared" si="61"/>
        <v>1559507</v>
      </c>
      <c r="R250" s="9">
        <f t="shared" si="61"/>
        <v>1412330</v>
      </c>
    </row>
    <row r="251" spans="1:19">
      <c r="A251" s="523"/>
      <c r="C251" t="s">
        <v>996</v>
      </c>
    </row>
    <row r="252" spans="1:19">
      <c r="A252" s="523"/>
      <c r="C252" t="s">
        <v>997</v>
      </c>
      <c r="F252" s="18">
        <v>0</v>
      </c>
      <c r="G252" s="18">
        <v>5014</v>
      </c>
      <c r="H252" s="18">
        <f t="shared" ref="H252:M252" si="62">G257</f>
        <v>28728</v>
      </c>
      <c r="I252" s="18">
        <f t="shared" si="62"/>
        <v>66401</v>
      </c>
      <c r="J252" s="18">
        <f t="shared" si="62"/>
        <v>92031</v>
      </c>
      <c r="K252" s="18">
        <f t="shared" si="62"/>
        <v>138871</v>
      </c>
      <c r="L252" s="18">
        <f t="shared" si="62"/>
        <v>145260</v>
      </c>
      <c r="M252" s="18">
        <f t="shared" si="62"/>
        <v>179168</v>
      </c>
      <c r="N252" s="18"/>
      <c r="O252" s="18"/>
      <c r="P252" s="18"/>
      <c r="Q252" s="18"/>
      <c r="R252" s="18"/>
    </row>
    <row r="253" spans="1:19">
      <c r="A253" s="523"/>
      <c r="C253" t="s">
        <v>257</v>
      </c>
      <c r="F253" s="14"/>
      <c r="G253" s="14"/>
      <c r="H253" s="14">
        <v>12187</v>
      </c>
      <c r="I253" s="14"/>
      <c r="J253" s="14">
        <v>21576</v>
      </c>
      <c r="K253" s="14"/>
      <c r="L253" s="14"/>
      <c r="M253" s="14"/>
      <c r="N253" s="14"/>
      <c r="O253" s="14"/>
      <c r="P253" s="14"/>
    </row>
    <row r="254" spans="1:19">
      <c r="A254" s="523"/>
      <c r="C254" t="s">
        <v>256</v>
      </c>
      <c r="F254" s="14">
        <v>5014</v>
      </c>
      <c r="G254" s="14">
        <v>23714</v>
      </c>
      <c r="H254" s="14">
        <v>25486</v>
      </c>
      <c r="I254" s="14">
        <v>26554</v>
      </c>
      <c r="J254" s="14">
        <v>24702</v>
      </c>
      <c r="K254" s="14">
        <v>8037</v>
      </c>
      <c r="L254" s="14">
        <v>34138</v>
      </c>
      <c r="M254" s="14">
        <v>-3498</v>
      </c>
      <c r="N254" s="14"/>
      <c r="O254" s="14"/>
      <c r="P254" s="14"/>
    </row>
    <row r="255" spans="1:19">
      <c r="A255" s="523"/>
      <c r="C255" t="s">
        <v>185</v>
      </c>
      <c r="F255" s="14"/>
      <c r="G255" s="14"/>
      <c r="H255" s="14"/>
      <c r="I255" s="14">
        <v>-924</v>
      </c>
      <c r="J255" s="14">
        <v>562</v>
      </c>
      <c r="K255" s="14">
        <v>-1648</v>
      </c>
      <c r="L255" s="14">
        <v>-230</v>
      </c>
      <c r="M255" s="14">
        <v>-716</v>
      </c>
      <c r="N255" s="14"/>
      <c r="O255" s="14"/>
      <c r="P255" s="14"/>
    </row>
    <row r="256" spans="1:19">
      <c r="A256" s="523"/>
      <c r="C256" t="s">
        <v>998</v>
      </c>
      <c r="F256" s="18"/>
      <c r="G256" s="18"/>
      <c r="H256" s="18"/>
      <c r="I256" s="18"/>
      <c r="J256" s="18"/>
      <c r="K256" s="18"/>
      <c r="L256" s="18"/>
      <c r="M256" s="657">
        <v>-22865</v>
      </c>
      <c r="N256" s="14"/>
      <c r="O256" s="14"/>
      <c r="P256" s="14"/>
      <c r="S256" t="s">
        <v>999</v>
      </c>
    </row>
    <row r="257" spans="1:19">
      <c r="A257" s="523"/>
      <c r="C257" t="s">
        <v>1000</v>
      </c>
      <c r="F257" s="14">
        <f t="shared" ref="F257:M257" si="63">SUM(F252:F256)</f>
        <v>5014</v>
      </c>
      <c r="G257" s="14">
        <f t="shared" si="63"/>
        <v>28728</v>
      </c>
      <c r="H257" s="14">
        <f t="shared" si="63"/>
        <v>66401</v>
      </c>
      <c r="I257" s="14">
        <f t="shared" si="63"/>
        <v>92031</v>
      </c>
      <c r="J257" s="14">
        <f t="shared" si="63"/>
        <v>138871</v>
      </c>
      <c r="K257" s="14">
        <f t="shared" si="63"/>
        <v>145260</v>
      </c>
      <c r="L257" s="14">
        <f t="shared" si="63"/>
        <v>179168</v>
      </c>
      <c r="M257" s="14">
        <f t="shared" si="63"/>
        <v>152089</v>
      </c>
      <c r="N257" s="14"/>
      <c r="O257" s="14"/>
      <c r="P257" s="14"/>
    </row>
    <row r="258" spans="1:19">
      <c r="A258" s="523"/>
      <c r="F258" s="14"/>
      <c r="G258" s="14"/>
      <c r="H258" s="14"/>
      <c r="I258" s="14"/>
      <c r="J258" s="14"/>
      <c r="K258" s="14"/>
      <c r="L258" s="14"/>
      <c r="M258" s="658">
        <v>38899</v>
      </c>
      <c r="N258" s="14"/>
      <c r="O258" s="14"/>
      <c r="P258" s="14"/>
    </row>
    <row r="259" spans="1:19">
      <c r="A259" s="523"/>
      <c r="C259" t="s">
        <v>1001</v>
      </c>
      <c r="F259" s="14"/>
      <c r="G259" s="14"/>
      <c r="H259" s="14"/>
      <c r="I259" s="14"/>
      <c r="J259" s="14"/>
      <c r="K259" s="14"/>
      <c r="L259" s="14"/>
      <c r="M259" s="18">
        <f>M257</f>
        <v>152089</v>
      </c>
      <c r="N259" s="18">
        <f>M276</f>
        <v>970959</v>
      </c>
      <c r="O259" s="18">
        <f>N276</f>
        <v>1331735</v>
      </c>
      <c r="P259" s="18">
        <f>O276</f>
        <v>1328356</v>
      </c>
      <c r="Q259" s="18">
        <f>P276</f>
        <v>1300782</v>
      </c>
      <c r="R259" s="18">
        <f>Q276</f>
        <v>1556108</v>
      </c>
    </row>
    <row r="260" spans="1:19">
      <c r="A260" s="523"/>
      <c r="C260" t="s">
        <v>156</v>
      </c>
      <c r="F260" s="14"/>
      <c r="G260" s="14"/>
      <c r="H260" s="14"/>
      <c r="I260" s="14"/>
      <c r="J260" s="14"/>
      <c r="L260" s="14"/>
      <c r="M260" s="14">
        <f>M257-M259</f>
        <v>0</v>
      </c>
      <c r="N260" s="14">
        <f>-132</f>
        <v>-132</v>
      </c>
      <c r="P260" s="14"/>
    </row>
    <row r="261" spans="1:19">
      <c r="A261" s="523"/>
      <c r="C261" t="s">
        <v>256</v>
      </c>
      <c r="F261" s="14"/>
      <c r="G261" s="14"/>
      <c r="H261" s="14"/>
      <c r="I261" s="14"/>
      <c r="J261" s="14"/>
      <c r="K261" s="14"/>
      <c r="L261" s="14"/>
      <c r="M261" s="14"/>
      <c r="N261" s="14">
        <v>11328</v>
      </c>
      <c r="O261" s="14">
        <v>11507</v>
      </c>
      <c r="P261" s="14">
        <v>-35128</v>
      </c>
      <c r="Q261" s="14">
        <v>-16032</v>
      </c>
      <c r="R261" s="14">
        <v>-37604</v>
      </c>
    </row>
    <row r="262" spans="1:19">
      <c r="A262" s="523"/>
      <c r="C262" t="s">
        <v>189</v>
      </c>
      <c r="F262" s="14"/>
      <c r="G262" s="14"/>
      <c r="H262" s="14"/>
      <c r="I262" s="14"/>
      <c r="J262" s="14"/>
      <c r="K262" s="14"/>
      <c r="L262" s="14"/>
      <c r="M262" s="14"/>
      <c r="N262" s="14">
        <v>476073</v>
      </c>
      <c r="O262" s="14">
        <v>-13341</v>
      </c>
      <c r="P262" s="14">
        <v>8274</v>
      </c>
      <c r="Q262" s="14">
        <v>366738</v>
      </c>
      <c r="R262" s="14">
        <v>38691</v>
      </c>
    </row>
    <row r="263" spans="1:19">
      <c r="A263" s="523"/>
      <c r="C263" t="s">
        <v>1002</v>
      </c>
      <c r="F263" s="14"/>
      <c r="G263" s="14"/>
      <c r="H263" s="14"/>
      <c r="I263" s="14"/>
      <c r="J263" s="14"/>
      <c r="K263" s="14"/>
      <c r="L263" s="14"/>
      <c r="M263" s="14"/>
      <c r="N263" s="14"/>
      <c r="O263" s="14"/>
      <c r="P263" s="14"/>
      <c r="Q263" s="14">
        <v>2613</v>
      </c>
      <c r="R263" s="14">
        <v>0</v>
      </c>
    </row>
    <row r="264" spans="1:19">
      <c r="A264" s="523"/>
      <c r="C264" s="28" t="s">
        <v>1003</v>
      </c>
      <c r="D264" s="28"/>
      <c r="F264" s="14"/>
      <c r="G264" s="14"/>
      <c r="H264" s="14"/>
      <c r="I264" s="14"/>
      <c r="J264" s="14"/>
      <c r="K264" s="14"/>
      <c r="L264" s="14"/>
      <c r="M264" s="14"/>
      <c r="N264" s="14"/>
      <c r="O264" s="14"/>
      <c r="P264" s="14"/>
      <c r="Q264" s="14"/>
      <c r="R264" s="14"/>
    </row>
    <row r="265" spans="1:19">
      <c r="A265" s="523"/>
      <c r="C265" s="655" t="s">
        <v>478</v>
      </c>
      <c r="D265" s="28"/>
      <c r="F265" s="14"/>
      <c r="G265" s="14"/>
      <c r="H265" s="14"/>
      <c r="I265" s="14"/>
      <c r="J265" s="14"/>
      <c r="K265" s="14"/>
      <c r="L265" s="14"/>
      <c r="M265" s="14"/>
      <c r="N265" s="14"/>
      <c r="O265" s="14"/>
      <c r="P265" s="14"/>
      <c r="Q265" s="14"/>
      <c r="R265" s="619">
        <v>17410</v>
      </c>
    </row>
    <row r="266" spans="1:19">
      <c r="A266" s="523"/>
      <c r="C266" s="655" t="s">
        <v>189</v>
      </c>
      <c r="D266" s="28"/>
      <c r="F266" s="14"/>
      <c r="G266" s="14"/>
      <c r="H266" s="14"/>
      <c r="I266" s="14"/>
      <c r="J266" s="14"/>
      <c r="K266" s="14"/>
      <c r="L266" s="14"/>
      <c r="M266" s="14"/>
      <c r="N266" s="14"/>
      <c r="O266" s="14"/>
      <c r="P266" s="14"/>
      <c r="Q266" s="14"/>
      <c r="R266" s="619">
        <v>-147153</v>
      </c>
      <c r="S266" s="14">
        <f>S267-R267</f>
        <v>-129743</v>
      </c>
    </row>
    <row r="267" spans="1:19">
      <c r="A267" s="523"/>
      <c r="C267" s="655" t="s">
        <v>176</v>
      </c>
      <c r="D267" s="28"/>
      <c r="F267" s="14"/>
      <c r="G267" s="14"/>
      <c r="H267" s="14"/>
      <c r="I267" s="14"/>
      <c r="J267" s="14"/>
      <c r="K267" s="14"/>
      <c r="L267" s="14"/>
      <c r="M267" s="14"/>
      <c r="N267" s="14"/>
      <c r="O267" s="14"/>
      <c r="P267" s="14"/>
      <c r="Q267" s="14"/>
      <c r="R267" s="619">
        <v>-22899</v>
      </c>
      <c r="S267" s="14">
        <f>SUM(R265:R267)</f>
        <v>-152642</v>
      </c>
    </row>
    <row r="268" spans="1:19">
      <c r="A268" s="523"/>
      <c r="C268" t="s">
        <v>226</v>
      </c>
      <c r="F268" s="14"/>
      <c r="G268" s="14"/>
      <c r="H268" s="14"/>
      <c r="I268" s="14"/>
      <c r="J268" s="14"/>
      <c r="K268" s="14"/>
      <c r="L268" s="14"/>
      <c r="M268" s="14"/>
      <c r="N268" s="14">
        <v>4424</v>
      </c>
      <c r="O268" s="14">
        <v>0</v>
      </c>
      <c r="P268" s="14"/>
      <c r="R268" s="14"/>
    </row>
    <row r="269" spans="1:19">
      <c r="A269" s="523"/>
      <c r="C269" t="s">
        <v>89</v>
      </c>
      <c r="F269" s="14"/>
      <c r="G269" s="14"/>
      <c r="H269" s="14"/>
      <c r="I269" s="14"/>
      <c r="J269" s="14"/>
      <c r="K269" s="14"/>
      <c r="L269" s="14"/>
      <c r="M269" s="14"/>
      <c r="N269" s="14">
        <v>-16744</v>
      </c>
      <c r="O269" s="14">
        <v>-2859</v>
      </c>
      <c r="P269" s="14">
        <v>-720</v>
      </c>
      <c r="Q269" s="14">
        <v>-9442</v>
      </c>
      <c r="R269" s="14">
        <v>2410</v>
      </c>
    </row>
    <row r="270" spans="1:19">
      <c r="A270" s="523"/>
      <c r="C270" s="28" t="s">
        <v>1004</v>
      </c>
      <c r="D270" s="28"/>
      <c r="E270" s="28"/>
      <c r="F270" s="14"/>
      <c r="G270" s="14"/>
      <c r="H270" s="14"/>
      <c r="I270" s="14"/>
      <c r="J270" s="14"/>
      <c r="K270" s="14"/>
      <c r="L270" s="14"/>
      <c r="M270" s="617"/>
      <c r="N270" s="619">
        <v>-113928</v>
      </c>
      <c r="O270" s="14">
        <v>0</v>
      </c>
      <c r="P270" s="14"/>
      <c r="Q270" s="619">
        <v>-103270</v>
      </c>
      <c r="R270" s="619">
        <v>-2610</v>
      </c>
    </row>
    <row r="271" spans="1:19">
      <c r="A271" s="523"/>
      <c r="C271" t="s">
        <v>186</v>
      </c>
      <c r="F271" s="14"/>
      <c r="G271" s="14"/>
      <c r="H271" s="14"/>
      <c r="I271" s="14"/>
      <c r="J271" s="14"/>
      <c r="K271" s="14"/>
      <c r="L271" s="14"/>
      <c r="M271" s="14"/>
      <c r="N271" s="14">
        <v>-126</v>
      </c>
      <c r="O271" s="14">
        <v>1191</v>
      </c>
      <c r="P271" s="14"/>
      <c r="Q271" s="14">
        <v>-18</v>
      </c>
      <c r="R271" s="14">
        <v>24</v>
      </c>
    </row>
    <row r="272" spans="1:19">
      <c r="A272" s="523"/>
      <c r="C272" t="s">
        <v>258</v>
      </c>
      <c r="F272" s="14"/>
      <c r="G272" s="14"/>
      <c r="H272" s="14"/>
      <c r="I272" s="14"/>
      <c r="J272" s="14"/>
      <c r="K272" s="14"/>
      <c r="L272" s="14"/>
      <c r="M272" s="14"/>
      <c r="N272" s="14">
        <v>-119</v>
      </c>
      <c r="O272" s="14">
        <v>123</v>
      </c>
      <c r="P272" s="14"/>
      <c r="Q272" s="14">
        <v>-11</v>
      </c>
      <c r="R272" s="14">
        <v>6</v>
      </c>
    </row>
    <row r="273" spans="1:19">
      <c r="A273" s="523"/>
      <c r="C273" t="s">
        <v>1005</v>
      </c>
      <c r="F273" s="14" t="s">
        <v>1006</v>
      </c>
      <c r="G273" s="14"/>
      <c r="H273" s="14"/>
      <c r="I273" s="14"/>
      <c r="J273" s="14"/>
      <c r="K273" s="14"/>
      <c r="N273" s="14">
        <v>0</v>
      </c>
      <c r="O273" s="14">
        <v>0</v>
      </c>
      <c r="P273" s="14">
        <v>0</v>
      </c>
      <c r="Q273" s="14"/>
      <c r="R273" s="14"/>
    </row>
    <row r="274" spans="1:19">
      <c r="A274" s="523"/>
      <c r="C274" s="28" t="s">
        <v>1007</v>
      </c>
      <c r="D274" s="28"/>
      <c r="E274" s="28"/>
      <c r="F274" s="14"/>
      <c r="G274" s="14"/>
      <c r="H274" s="14"/>
      <c r="I274" s="14"/>
      <c r="J274" s="14"/>
      <c r="K274" s="14"/>
      <c r="N274" s="14"/>
      <c r="O274" s="14"/>
      <c r="P274" s="14"/>
      <c r="Q274" s="659">
        <v>14748</v>
      </c>
      <c r="R274" s="14">
        <v>0</v>
      </c>
      <c r="S274" t="s">
        <v>1008</v>
      </c>
    </row>
    <row r="275" spans="1:19">
      <c r="A275" s="523"/>
      <c r="C275" t="s">
        <v>1009</v>
      </c>
      <c r="F275" s="14"/>
      <c r="G275" s="14"/>
      <c r="H275" s="14"/>
      <c r="I275" s="14"/>
      <c r="J275" s="14"/>
      <c r="K275" s="14"/>
      <c r="L275" s="14"/>
      <c r="M275" s="18">
        <v>818870</v>
      </c>
      <c r="N275" s="18"/>
      <c r="O275" s="18"/>
      <c r="P275" s="18"/>
      <c r="Q275" s="4"/>
      <c r="R275" s="18"/>
    </row>
    <row r="276" spans="1:19">
      <c r="A276" s="523"/>
      <c r="C276" t="s">
        <v>207</v>
      </c>
      <c r="M276" s="617">
        <f>SUM(M259:M275)</f>
        <v>970959</v>
      </c>
      <c r="N276" s="617">
        <f>SUM(N259:N275)</f>
        <v>1331735</v>
      </c>
      <c r="O276" s="617">
        <f>SUM(O259:O273)</f>
        <v>1328356</v>
      </c>
      <c r="P276" s="617">
        <f>SUM(P259:P273)</f>
        <v>1300782</v>
      </c>
      <c r="Q276" s="617">
        <f>SUM(Q259:Q275)</f>
        <v>1556108</v>
      </c>
      <c r="R276" s="617">
        <f>SUM(R259:R275)</f>
        <v>1404383</v>
      </c>
    </row>
    <row r="277" spans="1:19">
      <c r="A277" s="523"/>
      <c r="C277" t="s">
        <v>1010</v>
      </c>
      <c r="M277" s="1"/>
      <c r="N277" s="617">
        <f>N276+N278</f>
        <v>1331772</v>
      </c>
      <c r="O277" s="617">
        <f>O276+O278</f>
        <v>1329478</v>
      </c>
      <c r="P277" s="617">
        <f>P276+P278</f>
        <v>1301231</v>
      </c>
      <c r="Q277" s="617">
        <f>Q276+Q278</f>
        <v>1559507</v>
      </c>
      <c r="R277" s="617">
        <f>R276+R278</f>
        <v>1412330</v>
      </c>
    </row>
    <row r="278" spans="1:19">
      <c r="A278" s="523"/>
      <c r="C278" t="s">
        <v>156</v>
      </c>
      <c r="F278" s="14"/>
      <c r="G278" s="14"/>
      <c r="H278" s="14"/>
      <c r="I278" s="14"/>
      <c r="J278" s="14"/>
      <c r="K278" s="14"/>
      <c r="M278" s="14"/>
      <c r="N278" s="14">
        <v>37</v>
      </c>
      <c r="O278" s="14">
        <v>1122</v>
      </c>
      <c r="P278" s="14">
        <v>449</v>
      </c>
      <c r="Q278" s="14">
        <v>3399</v>
      </c>
      <c r="R278" s="14">
        <v>7947</v>
      </c>
    </row>
    <row r="279" spans="1:19">
      <c r="A279" s="523"/>
      <c r="C279" s="4"/>
      <c r="D279" s="4"/>
      <c r="E279" s="4"/>
      <c r="F279" s="4"/>
      <c r="G279" s="4"/>
      <c r="H279" s="4"/>
      <c r="I279" s="4"/>
      <c r="J279" s="4"/>
      <c r="K279" s="4"/>
      <c r="L279" s="4"/>
      <c r="M279" s="4" t="s">
        <v>1011</v>
      </c>
      <c r="N279" s="18">
        <v>970827</v>
      </c>
      <c r="O279" s="4"/>
      <c r="P279" s="4"/>
      <c r="Q279" s="4"/>
      <c r="R279" s="4"/>
    </row>
    <row r="280" spans="1:19">
      <c r="A280" s="523">
        <v>5</v>
      </c>
      <c r="C280" s="88" t="s">
        <v>1012</v>
      </c>
      <c r="D280" s="88"/>
      <c r="E280" s="88"/>
      <c r="F280" s="636">
        <v>1999</v>
      </c>
      <c r="G280" s="636">
        <f t="shared" ref="G280:Q280" si="64">F280+1</f>
        <v>2000</v>
      </c>
      <c r="H280" s="636">
        <f t="shared" si="64"/>
        <v>2001</v>
      </c>
      <c r="I280" s="636">
        <f t="shared" si="64"/>
        <v>2002</v>
      </c>
      <c r="J280" s="636">
        <f t="shared" si="64"/>
        <v>2003</v>
      </c>
      <c r="K280" s="636">
        <f t="shared" si="64"/>
        <v>2004</v>
      </c>
      <c r="L280" s="636">
        <f t="shared" si="64"/>
        <v>2005</v>
      </c>
      <c r="M280" s="636">
        <f t="shared" si="64"/>
        <v>2006</v>
      </c>
      <c r="N280" s="636">
        <f t="shared" si="64"/>
        <v>2007</v>
      </c>
      <c r="O280" s="636">
        <f t="shared" si="64"/>
        <v>2008</v>
      </c>
      <c r="P280" s="636">
        <f t="shared" si="64"/>
        <v>2009</v>
      </c>
      <c r="Q280" s="636">
        <f t="shared" si="64"/>
        <v>2010</v>
      </c>
      <c r="R280" s="636">
        <f>Q280+1</f>
        <v>2011</v>
      </c>
    </row>
    <row r="281" spans="1:19">
      <c r="A281" s="523"/>
    </row>
    <row r="282" spans="1:19">
      <c r="A282" s="523"/>
      <c r="C282" t="s">
        <v>326</v>
      </c>
      <c r="F282" s="579">
        <f t="shared" ref="F282:R282" si="65">F40</f>
        <v>5014</v>
      </c>
      <c r="G282" s="579">
        <f t="shared" si="65"/>
        <v>28728</v>
      </c>
      <c r="H282" s="579">
        <f t="shared" si="65"/>
        <v>66401</v>
      </c>
      <c r="I282" s="579">
        <f t="shared" si="65"/>
        <v>92031</v>
      </c>
      <c r="J282" s="579">
        <f t="shared" si="65"/>
        <v>138871</v>
      </c>
      <c r="K282" s="579">
        <f t="shared" si="65"/>
        <v>145260</v>
      </c>
      <c r="L282" s="579">
        <f t="shared" si="65"/>
        <v>179168</v>
      </c>
      <c r="M282" s="579">
        <f t="shared" si="65"/>
        <v>970959</v>
      </c>
      <c r="N282" s="579">
        <f t="shared" si="65"/>
        <v>1331772</v>
      </c>
      <c r="O282" s="579">
        <f t="shared" si="65"/>
        <v>1329478</v>
      </c>
      <c r="P282" s="579">
        <f t="shared" si="65"/>
        <v>1301231</v>
      </c>
      <c r="Q282" s="579">
        <f t="shared" si="65"/>
        <v>1559507</v>
      </c>
      <c r="R282" s="579">
        <f t="shared" si="65"/>
        <v>1412330</v>
      </c>
      <c r="S282" s="2" t="s">
        <v>1013</v>
      </c>
    </row>
    <row r="283" spans="1:19">
      <c r="A283" s="523"/>
      <c r="C283" t="s">
        <v>1014</v>
      </c>
      <c r="E283">
        <v>2007</v>
      </c>
      <c r="F283" s="579"/>
      <c r="G283" s="579"/>
      <c r="H283" s="579"/>
      <c r="I283" s="579"/>
      <c r="J283" s="579"/>
      <c r="K283" s="579"/>
      <c r="L283" s="579"/>
      <c r="M283" s="579"/>
      <c r="N283" s="579">
        <f>-N270</f>
        <v>113928</v>
      </c>
      <c r="O283" s="579">
        <f>N283</f>
        <v>113928</v>
      </c>
      <c r="P283" s="579">
        <f>O283</f>
        <v>113928</v>
      </c>
      <c r="Q283" s="579">
        <f>P283</f>
        <v>113928</v>
      </c>
      <c r="R283" s="579">
        <f>Q283</f>
        <v>113928</v>
      </c>
      <c r="S283" s="2"/>
    </row>
    <row r="284" spans="1:19">
      <c r="A284" s="523"/>
      <c r="E284">
        <v>2010</v>
      </c>
      <c r="F284" s="579"/>
      <c r="G284" s="579"/>
      <c r="H284" s="579"/>
      <c r="I284" s="579"/>
      <c r="J284" s="579"/>
      <c r="K284" s="579"/>
      <c r="L284" s="579"/>
      <c r="M284" s="579"/>
      <c r="N284" s="579"/>
      <c r="O284" s="579"/>
      <c r="P284" s="579"/>
      <c r="Q284" s="579">
        <f>-Q270</f>
        <v>103270</v>
      </c>
      <c r="R284" s="579">
        <f>Q284</f>
        <v>103270</v>
      </c>
      <c r="S284" s="2"/>
    </row>
    <row r="285" spans="1:19">
      <c r="A285" s="523"/>
      <c r="E285">
        <v>2011</v>
      </c>
      <c r="F285" s="580"/>
      <c r="G285" s="580"/>
      <c r="H285" s="580"/>
      <c r="I285" s="580"/>
      <c r="J285" s="580"/>
      <c r="K285" s="580"/>
      <c r="L285" s="580"/>
      <c r="M285" s="580"/>
      <c r="N285" s="580"/>
      <c r="O285" s="580"/>
      <c r="P285" s="580"/>
      <c r="Q285" s="580"/>
      <c r="R285" s="580">
        <f>-R270</f>
        <v>2610</v>
      </c>
      <c r="S285" s="2"/>
    </row>
    <row r="286" spans="1:19">
      <c r="A286" s="523"/>
      <c r="C286" t="s">
        <v>1015</v>
      </c>
      <c r="F286" s="579">
        <f>SUM(F282:F285)</f>
        <v>5014</v>
      </c>
      <c r="G286" s="579">
        <f t="shared" ref="G286:R286" si="66">SUM(G282:G285)</f>
        <v>28728</v>
      </c>
      <c r="H286" s="579">
        <f t="shared" si="66"/>
        <v>66401</v>
      </c>
      <c r="I286" s="579">
        <f t="shared" si="66"/>
        <v>92031</v>
      </c>
      <c r="J286" s="579">
        <f t="shared" si="66"/>
        <v>138871</v>
      </c>
      <c r="K286" s="579">
        <f t="shared" si="66"/>
        <v>145260</v>
      </c>
      <c r="L286" s="579">
        <f t="shared" si="66"/>
        <v>179168</v>
      </c>
      <c r="M286" s="579">
        <f t="shared" si="66"/>
        <v>970959</v>
      </c>
      <c r="N286" s="579">
        <f t="shared" si="66"/>
        <v>1445700</v>
      </c>
      <c r="O286" s="579">
        <f t="shared" si="66"/>
        <v>1443406</v>
      </c>
      <c r="P286" s="579">
        <f t="shared" si="66"/>
        <v>1415159</v>
      </c>
      <c r="Q286" s="579">
        <f t="shared" si="66"/>
        <v>1776705</v>
      </c>
      <c r="R286" s="579">
        <f t="shared" si="66"/>
        <v>1632138</v>
      </c>
      <c r="S286" s="2"/>
    </row>
    <row r="287" spans="1:19">
      <c r="A287" s="523"/>
      <c r="C287" t="s">
        <v>1016</v>
      </c>
      <c r="F287" s="493">
        <f>F133</f>
        <v>0</v>
      </c>
      <c r="G287" s="493">
        <f t="shared" ref="G287:R287" si="67">G133</f>
        <v>77813</v>
      </c>
      <c r="H287" s="493">
        <f t="shared" si="67"/>
        <v>77813</v>
      </c>
      <c r="I287" s="493">
        <f t="shared" si="67"/>
        <v>77802</v>
      </c>
      <c r="J287" s="493">
        <f t="shared" si="67"/>
        <v>677802</v>
      </c>
      <c r="K287" s="493">
        <f t="shared" si="67"/>
        <v>677802</v>
      </c>
      <c r="L287" s="493">
        <f t="shared" si="67"/>
        <v>677802</v>
      </c>
      <c r="M287" s="493">
        <f t="shared" si="67"/>
        <v>2477802</v>
      </c>
      <c r="N287" s="493">
        <f t="shared" si="67"/>
        <v>3932802</v>
      </c>
      <c r="O287" s="493">
        <f t="shared" si="67"/>
        <v>3932802</v>
      </c>
      <c r="P287" s="493">
        <f t="shared" si="67"/>
        <v>3932802</v>
      </c>
      <c r="Q287" s="493">
        <f t="shared" si="67"/>
        <v>5146465</v>
      </c>
      <c r="R287" s="493">
        <f t="shared" si="67"/>
        <v>5276138</v>
      </c>
      <c r="S287" s="2"/>
    </row>
    <row r="288" spans="1:19">
      <c r="A288" s="523"/>
      <c r="F288" s="660">
        <v>0</v>
      </c>
      <c r="G288" s="660">
        <v>0</v>
      </c>
      <c r="H288" s="660">
        <v>0</v>
      </c>
      <c r="I288" s="660">
        <v>0</v>
      </c>
      <c r="J288" s="660">
        <v>0</v>
      </c>
      <c r="K288" s="660">
        <v>0</v>
      </c>
      <c r="L288" s="660">
        <v>0</v>
      </c>
      <c r="M288" s="660">
        <v>0.28000000000000003</v>
      </c>
      <c r="N288" s="660">
        <v>0.28000000000000003</v>
      </c>
      <c r="O288" s="660">
        <v>0.28000000000000003</v>
      </c>
      <c r="P288" s="660">
        <v>0.28000000000000003</v>
      </c>
      <c r="Q288" s="660">
        <v>0.28000000000000003</v>
      </c>
      <c r="R288" s="660">
        <v>0.28000000000000003</v>
      </c>
      <c r="S288" s="2"/>
    </row>
    <row r="289" spans="1:19">
      <c r="A289" s="523"/>
      <c r="C289" t="s">
        <v>1017</v>
      </c>
      <c r="F289" s="579"/>
      <c r="G289" s="579"/>
      <c r="H289" s="579"/>
      <c r="I289" s="579"/>
      <c r="J289" s="579"/>
      <c r="K289" s="579"/>
      <c r="L289" s="579"/>
      <c r="M289" s="661">
        <f t="shared" ref="M289:R289" si="68">M287*M288</f>
        <v>693784.56</v>
      </c>
      <c r="N289" s="661">
        <f t="shared" si="68"/>
        <v>1101184.56</v>
      </c>
      <c r="O289" s="661">
        <f t="shared" si="68"/>
        <v>1101184.56</v>
      </c>
      <c r="P289" s="661">
        <f t="shared" si="68"/>
        <v>1101184.56</v>
      </c>
      <c r="Q289" s="661">
        <f t="shared" si="68"/>
        <v>1441010.2000000002</v>
      </c>
      <c r="R289" s="661">
        <f t="shared" si="68"/>
        <v>1477318.6400000001</v>
      </c>
      <c r="S289" s="2"/>
    </row>
    <row r="290" spans="1:19">
      <c r="A290" s="523"/>
      <c r="C290" t="s">
        <v>1018</v>
      </c>
      <c r="F290" s="579"/>
      <c r="G290" s="579"/>
      <c r="H290" s="579"/>
      <c r="I290" s="579"/>
      <c r="J290" s="579"/>
      <c r="K290" s="579"/>
      <c r="L290" s="579"/>
      <c r="M290" s="73">
        <f t="shared" ref="M290:R290" si="69">M286-M289</f>
        <v>277174.43999999994</v>
      </c>
      <c r="N290" s="73">
        <f t="shared" si="69"/>
        <v>344515.43999999994</v>
      </c>
      <c r="O290" s="73">
        <f t="shared" si="69"/>
        <v>342221.43999999994</v>
      </c>
      <c r="P290" s="73">
        <f t="shared" si="69"/>
        <v>313974.43999999994</v>
      </c>
      <c r="Q290" s="73">
        <f t="shared" si="69"/>
        <v>335694.79999999981</v>
      </c>
      <c r="R290" s="73">
        <f t="shared" si="69"/>
        <v>154819.35999999987</v>
      </c>
      <c r="S290" s="2"/>
    </row>
    <row r="291" spans="1:19">
      <c r="A291" s="523"/>
      <c r="C291" t="s">
        <v>1019</v>
      </c>
      <c r="F291" s="579"/>
      <c r="G291" s="579"/>
      <c r="H291" s="579"/>
      <c r="I291" s="579"/>
      <c r="J291" s="579"/>
      <c r="K291" s="579"/>
      <c r="L291" s="579"/>
      <c r="M291" s="579"/>
      <c r="N291" s="579">
        <f>N290-M290</f>
        <v>67341</v>
      </c>
      <c r="O291" s="579">
        <f>O290-N290</f>
        <v>-2294</v>
      </c>
      <c r="P291" s="579">
        <f>P290-O290</f>
        <v>-28247</v>
      </c>
      <c r="Q291" s="579">
        <f>Q290-P290</f>
        <v>21720.35999999987</v>
      </c>
      <c r="R291" s="579">
        <f>R290-Q290</f>
        <v>-180875.43999999994</v>
      </c>
      <c r="S291" s="2"/>
    </row>
    <row r="292" spans="1:19">
      <c r="A292" s="523"/>
      <c r="F292" s="579"/>
      <c r="G292" s="579"/>
      <c r="H292" s="579"/>
      <c r="I292" s="579"/>
      <c r="J292" s="579"/>
      <c r="K292" s="579"/>
      <c r="L292" s="579"/>
      <c r="M292" s="579"/>
      <c r="N292" s="579"/>
      <c r="O292" s="579"/>
      <c r="P292" s="579"/>
      <c r="Q292" s="579"/>
      <c r="R292" s="579"/>
      <c r="S292" s="2"/>
    </row>
    <row r="293" spans="1:19">
      <c r="A293" s="523"/>
      <c r="F293" s="579"/>
      <c r="G293" s="579"/>
      <c r="H293" s="579"/>
      <c r="I293" s="579"/>
      <c r="J293" s="579"/>
      <c r="K293" s="579"/>
      <c r="L293" s="579"/>
      <c r="M293" s="579"/>
      <c r="N293" s="579"/>
      <c r="O293" s="579"/>
      <c r="P293" s="579"/>
      <c r="Q293" s="579"/>
      <c r="R293" s="579"/>
      <c r="S293" s="2"/>
    </row>
    <row r="294" spans="1:19">
      <c r="A294" s="523"/>
      <c r="C294" t="s">
        <v>1020</v>
      </c>
      <c r="F294" s="493">
        <f t="shared" ref="F294:R294" si="70">F47</f>
        <v>0</v>
      </c>
      <c r="G294" s="493">
        <f t="shared" si="70"/>
        <v>77813</v>
      </c>
      <c r="H294" s="493">
        <f t="shared" si="70"/>
        <v>77813</v>
      </c>
      <c r="I294" s="10">
        <f t="shared" si="70"/>
        <v>77802</v>
      </c>
      <c r="J294" s="493">
        <f t="shared" si="70"/>
        <v>677802</v>
      </c>
      <c r="K294" s="493">
        <f t="shared" si="70"/>
        <v>677802</v>
      </c>
      <c r="L294" s="493">
        <f t="shared" si="70"/>
        <v>677802</v>
      </c>
      <c r="M294" s="493">
        <f t="shared" si="70"/>
        <v>1652713</v>
      </c>
      <c r="N294" s="493">
        <f t="shared" si="70"/>
        <v>2746509</v>
      </c>
      <c r="O294" s="493">
        <f t="shared" si="70"/>
        <v>2737795</v>
      </c>
      <c r="P294" s="493">
        <f t="shared" si="70"/>
        <v>2737092</v>
      </c>
      <c r="Q294" s="493">
        <f t="shared" si="70"/>
        <v>3686651</v>
      </c>
      <c r="R294" s="493">
        <f t="shared" si="70"/>
        <v>3392516</v>
      </c>
      <c r="S294" s="2" t="s">
        <v>1013</v>
      </c>
    </row>
    <row r="295" spans="1:19">
      <c r="A295" s="523"/>
      <c r="C295" t="s">
        <v>1021</v>
      </c>
      <c r="F295" s="2">
        <f>F282+F294</f>
        <v>5014</v>
      </c>
      <c r="G295" s="2">
        <f t="shared" ref="G295:Q295" si="71">G282+G294</f>
        <v>106541</v>
      </c>
      <c r="H295" s="2">
        <f t="shared" si="71"/>
        <v>144214</v>
      </c>
      <c r="I295" s="2">
        <f t="shared" si="71"/>
        <v>169833</v>
      </c>
      <c r="J295" s="2">
        <f t="shared" si="71"/>
        <v>816673</v>
      </c>
      <c r="K295" s="2">
        <f t="shared" si="71"/>
        <v>823062</v>
      </c>
      <c r="L295" s="2">
        <f t="shared" si="71"/>
        <v>856970</v>
      </c>
      <c r="M295" s="2">
        <f t="shared" si="71"/>
        <v>2623672</v>
      </c>
      <c r="N295" s="2">
        <f t="shared" si="71"/>
        <v>4078281</v>
      </c>
      <c r="O295" s="2">
        <f t="shared" si="71"/>
        <v>4067273</v>
      </c>
      <c r="P295" s="2">
        <f t="shared" si="71"/>
        <v>4038323</v>
      </c>
      <c r="Q295" s="2">
        <f t="shared" si="71"/>
        <v>5246158</v>
      </c>
      <c r="R295" s="2">
        <f>R282+R294</f>
        <v>4804846</v>
      </c>
    </row>
    <row r="296" spans="1:19">
      <c r="A296" s="523"/>
      <c r="C296" s="16" t="s">
        <v>1022</v>
      </c>
      <c r="F296" s="2"/>
      <c r="G296" s="2"/>
      <c r="H296" s="2"/>
      <c r="I296" s="2"/>
      <c r="J296" s="2"/>
      <c r="K296" s="2"/>
      <c r="L296" s="2"/>
      <c r="M296" s="662">
        <f t="shared" ref="M296:R296" si="72">M282/M295</f>
        <v>0.3700763662530987</v>
      </c>
      <c r="N296" s="662">
        <f t="shared" si="72"/>
        <v>0.3265522900457325</v>
      </c>
      <c r="O296" s="662">
        <f t="shared" si="72"/>
        <v>0.32687208358032521</v>
      </c>
      <c r="P296" s="662">
        <f t="shared" si="72"/>
        <v>0.3222206346545336</v>
      </c>
      <c r="Q296" s="662">
        <f t="shared" si="72"/>
        <v>0.29726649483298062</v>
      </c>
      <c r="R296" s="662">
        <f t="shared" si="72"/>
        <v>0.29393866109340444</v>
      </c>
    </row>
    <row r="297" spans="1:19">
      <c r="A297" s="523"/>
      <c r="C297" t="s">
        <v>1016</v>
      </c>
      <c r="F297" s="493">
        <f t="shared" ref="F297:R297" si="73">F133</f>
        <v>0</v>
      </c>
      <c r="G297" s="493">
        <f t="shared" si="73"/>
        <v>77813</v>
      </c>
      <c r="H297" s="493">
        <f t="shared" si="73"/>
        <v>77813</v>
      </c>
      <c r="I297" s="493">
        <f t="shared" si="73"/>
        <v>77802</v>
      </c>
      <c r="J297" s="493">
        <f t="shared" si="73"/>
        <v>677802</v>
      </c>
      <c r="K297" s="493">
        <f t="shared" si="73"/>
        <v>677802</v>
      </c>
      <c r="L297" s="493">
        <f t="shared" si="73"/>
        <v>677802</v>
      </c>
      <c r="M297" s="493">
        <f t="shared" si="73"/>
        <v>2477802</v>
      </c>
      <c r="N297" s="493">
        <f t="shared" si="73"/>
        <v>3932802</v>
      </c>
      <c r="O297" s="493">
        <f t="shared" si="73"/>
        <v>3932802</v>
      </c>
      <c r="P297" s="493">
        <f t="shared" si="73"/>
        <v>3932802</v>
      </c>
      <c r="Q297" s="493">
        <f t="shared" si="73"/>
        <v>5146465</v>
      </c>
      <c r="R297" s="493">
        <f t="shared" si="73"/>
        <v>5276138</v>
      </c>
    </row>
    <row r="298" spans="1:19">
      <c r="A298" s="523"/>
      <c r="C298" t="s">
        <v>407</v>
      </c>
      <c r="F298" s="579">
        <f>F295-F297</f>
        <v>5014</v>
      </c>
      <c r="G298" s="579">
        <f t="shared" ref="G298:Q298" si="74">G295-G297</f>
        <v>28728</v>
      </c>
      <c r="H298" s="579">
        <f t="shared" si="74"/>
        <v>66401</v>
      </c>
      <c r="I298" s="579">
        <f t="shared" si="74"/>
        <v>92031</v>
      </c>
      <c r="J298" s="579">
        <f t="shared" si="74"/>
        <v>138871</v>
      </c>
      <c r="K298" s="579">
        <f t="shared" si="74"/>
        <v>145260</v>
      </c>
      <c r="L298" s="579">
        <f t="shared" si="74"/>
        <v>179168</v>
      </c>
      <c r="M298" s="579">
        <f t="shared" si="74"/>
        <v>145870</v>
      </c>
      <c r="N298" s="579">
        <f t="shared" si="74"/>
        <v>145479</v>
      </c>
      <c r="O298" s="579">
        <f t="shared" si="74"/>
        <v>134471</v>
      </c>
      <c r="P298" s="579">
        <f t="shared" si="74"/>
        <v>105521</v>
      </c>
      <c r="Q298" s="579">
        <f t="shared" si="74"/>
        <v>99693</v>
      </c>
      <c r="R298" s="581">
        <f>R295-R297</f>
        <v>-471292</v>
      </c>
    </row>
    <row r="299" spans="1:19">
      <c r="A299" s="523"/>
      <c r="C299" s="16" t="s">
        <v>1023</v>
      </c>
      <c r="F299" s="2"/>
      <c r="G299" s="2"/>
      <c r="H299" s="2"/>
      <c r="I299" s="2"/>
      <c r="J299" s="2"/>
      <c r="K299" s="2"/>
      <c r="L299" s="2"/>
      <c r="M299" s="662">
        <f t="shared" ref="M299:R299" si="75">M282/M297</f>
        <v>0.39186303021791086</v>
      </c>
      <c r="N299" s="662">
        <f t="shared" si="75"/>
        <v>0.33863184569169769</v>
      </c>
      <c r="O299" s="662">
        <f t="shared" si="75"/>
        <v>0.33804854655789945</v>
      </c>
      <c r="P299" s="662">
        <f t="shared" si="75"/>
        <v>0.33086613564578132</v>
      </c>
      <c r="Q299" s="662">
        <f t="shared" si="75"/>
        <v>0.30302489184323611</v>
      </c>
      <c r="R299" s="662">
        <f t="shared" si="75"/>
        <v>0.26768253597612496</v>
      </c>
      <c r="S299" s="16"/>
    </row>
    <row r="300" spans="1:19">
      <c r="A300" s="523"/>
      <c r="C300" s="16" t="s">
        <v>1024</v>
      </c>
      <c r="D300" s="16"/>
      <c r="E300" s="16"/>
      <c r="F300" s="660">
        <v>0</v>
      </c>
      <c r="G300" s="660">
        <v>0</v>
      </c>
      <c r="H300" s="660">
        <v>0</v>
      </c>
      <c r="I300" s="660">
        <v>0</v>
      </c>
      <c r="J300" s="660">
        <v>0</v>
      </c>
      <c r="K300" s="660">
        <v>0</v>
      </c>
      <c r="L300" s="660">
        <v>0</v>
      </c>
      <c r="M300" s="660">
        <v>0.33</v>
      </c>
      <c r="N300" s="660">
        <v>0.3</v>
      </c>
      <c r="O300" s="660">
        <v>0.3</v>
      </c>
      <c r="P300" s="660">
        <v>0.3</v>
      </c>
      <c r="Q300" s="660">
        <v>0.28000000000000003</v>
      </c>
      <c r="R300" s="660">
        <v>0.28000000000000003</v>
      </c>
      <c r="S300" s="16"/>
    </row>
    <row r="301" spans="1:19">
      <c r="A301" s="523"/>
      <c r="C301" t="s">
        <v>1025</v>
      </c>
      <c r="F301" s="14"/>
      <c r="G301" s="14"/>
      <c r="H301" s="14"/>
      <c r="I301" s="14"/>
      <c r="J301" s="14"/>
      <c r="K301" s="14"/>
      <c r="L301" s="14"/>
      <c r="M301" s="14">
        <f t="shared" ref="M301:R301" si="76">M300*M297</f>
        <v>817674.66</v>
      </c>
      <c r="N301" s="14">
        <f t="shared" si="76"/>
        <v>1179840.5999999999</v>
      </c>
      <c r="O301" s="14">
        <f t="shared" si="76"/>
        <v>1179840.5999999999</v>
      </c>
      <c r="P301" s="14">
        <f t="shared" si="76"/>
        <v>1179840.5999999999</v>
      </c>
      <c r="Q301" s="14">
        <f t="shared" si="76"/>
        <v>1441010.2000000002</v>
      </c>
      <c r="R301" s="14">
        <f t="shared" si="76"/>
        <v>1477318.6400000001</v>
      </c>
    </row>
    <row r="302" spans="1:19">
      <c r="A302" s="523"/>
      <c r="C302" t="s">
        <v>326</v>
      </c>
      <c r="F302" s="14"/>
      <c r="G302" s="14"/>
      <c r="H302" s="14"/>
      <c r="I302" s="14"/>
      <c r="J302" s="14"/>
      <c r="K302" s="14"/>
      <c r="L302" s="14"/>
      <c r="M302" s="18">
        <f t="shared" ref="M302:R302" si="77">M282</f>
        <v>970959</v>
      </c>
      <c r="N302" s="18">
        <f t="shared" si="77"/>
        <v>1331772</v>
      </c>
      <c r="O302" s="18">
        <f t="shared" si="77"/>
        <v>1329478</v>
      </c>
      <c r="P302" s="18">
        <f t="shared" si="77"/>
        <v>1301231</v>
      </c>
      <c r="Q302" s="18">
        <f t="shared" si="77"/>
        <v>1559507</v>
      </c>
      <c r="R302" s="18">
        <f t="shared" si="77"/>
        <v>1412330</v>
      </c>
    </row>
    <row r="303" spans="1:19">
      <c r="A303" s="523"/>
      <c r="C303" t="s">
        <v>1026</v>
      </c>
      <c r="F303" s="14"/>
      <c r="G303" s="14"/>
      <c r="H303" s="14"/>
      <c r="I303" s="14"/>
      <c r="J303" s="14"/>
      <c r="K303" s="14"/>
      <c r="L303" s="14"/>
      <c r="M303" s="14">
        <f t="shared" ref="M303:R303" si="78">M302-M301</f>
        <v>153284.33999999997</v>
      </c>
      <c r="N303" s="14">
        <f t="shared" si="78"/>
        <v>151931.40000000014</v>
      </c>
      <c r="O303" s="14">
        <f t="shared" si="78"/>
        <v>149637.40000000014</v>
      </c>
      <c r="P303" s="14">
        <f t="shared" si="78"/>
        <v>121390.40000000014</v>
      </c>
      <c r="Q303" s="14">
        <f t="shared" si="78"/>
        <v>118496.79999999981</v>
      </c>
      <c r="R303" s="14">
        <f t="shared" si="78"/>
        <v>-64988.64000000013</v>
      </c>
    </row>
    <row r="304" spans="1:19">
      <c r="A304" s="523"/>
      <c r="C304" s="16" t="s">
        <v>468</v>
      </c>
      <c r="F304" s="14"/>
      <c r="G304" s="14"/>
      <c r="H304" s="14"/>
      <c r="I304" s="14"/>
      <c r="J304" s="14"/>
      <c r="K304" s="14"/>
      <c r="L304" s="14"/>
      <c r="M304" s="14"/>
      <c r="N304" s="14">
        <f>N303-M303</f>
        <v>-1352.9399999998277</v>
      </c>
      <c r="O304" s="14">
        <f>O303-N303</f>
        <v>-2294</v>
      </c>
      <c r="P304" s="14">
        <f>P303-O303</f>
        <v>-28247</v>
      </c>
      <c r="Q304" s="14">
        <f>Q303-P303</f>
        <v>-2893.600000000326</v>
      </c>
      <c r="R304" s="14">
        <f>R303-Q303</f>
        <v>-183485.43999999994</v>
      </c>
    </row>
    <row r="305" spans="1:19">
      <c r="A305" s="523"/>
      <c r="C305" s="16" t="s">
        <v>1027</v>
      </c>
      <c r="D305" s="16"/>
      <c r="E305" s="16"/>
      <c r="F305" s="660">
        <v>0</v>
      </c>
      <c r="G305" s="660">
        <v>0</v>
      </c>
      <c r="H305" s="660">
        <v>0</v>
      </c>
      <c r="I305" s="660">
        <v>0</v>
      </c>
      <c r="J305" s="660">
        <v>0</v>
      </c>
      <c r="K305" s="660">
        <v>0</v>
      </c>
      <c r="L305" s="660">
        <v>0</v>
      </c>
      <c r="M305" s="660">
        <v>0.28000000000000003</v>
      </c>
      <c r="N305" s="660">
        <v>0.28000000000000003</v>
      </c>
      <c r="O305" s="660">
        <v>0.28000000000000003</v>
      </c>
      <c r="P305" s="660">
        <v>0.28000000000000003</v>
      </c>
      <c r="Q305" s="660">
        <v>0.28000000000000003</v>
      </c>
      <c r="R305" s="660">
        <v>0.28000000000000003</v>
      </c>
    </row>
    <row r="306" spans="1:19">
      <c r="A306" s="523"/>
      <c r="C306" t="s">
        <v>1028</v>
      </c>
      <c r="F306" s="14"/>
      <c r="G306" s="14"/>
      <c r="H306" s="14"/>
      <c r="I306" s="14"/>
      <c r="J306" s="14"/>
      <c r="K306" s="14"/>
      <c r="L306" s="14"/>
      <c r="M306" s="8">
        <f t="shared" ref="M306:R306" si="79">M305*M297</f>
        <v>693784.56</v>
      </c>
      <c r="N306" s="8">
        <f t="shared" si="79"/>
        <v>1101184.56</v>
      </c>
      <c r="O306" s="8">
        <f t="shared" si="79"/>
        <v>1101184.56</v>
      </c>
      <c r="P306" s="8">
        <f t="shared" si="79"/>
        <v>1101184.56</v>
      </c>
      <c r="Q306" s="8">
        <f t="shared" si="79"/>
        <v>1441010.2000000002</v>
      </c>
      <c r="R306" s="8">
        <f t="shared" si="79"/>
        <v>1477318.6400000001</v>
      </c>
    </row>
    <row r="307" spans="1:19">
      <c r="A307" s="523"/>
      <c r="C307" t="s">
        <v>326</v>
      </c>
      <c r="F307" s="14"/>
      <c r="G307" s="14"/>
      <c r="H307" s="14"/>
      <c r="I307" s="14"/>
      <c r="J307" s="14"/>
      <c r="K307" s="14"/>
      <c r="L307" s="14"/>
      <c r="M307" s="494">
        <f t="shared" ref="M307:R307" si="80">M282</f>
        <v>970959</v>
      </c>
      <c r="N307" s="494">
        <f t="shared" si="80"/>
        <v>1331772</v>
      </c>
      <c r="O307" s="494">
        <f t="shared" si="80"/>
        <v>1329478</v>
      </c>
      <c r="P307" s="494">
        <f t="shared" si="80"/>
        <v>1301231</v>
      </c>
      <c r="Q307" s="494">
        <f t="shared" si="80"/>
        <v>1559507</v>
      </c>
      <c r="R307" s="494">
        <f t="shared" si="80"/>
        <v>1412330</v>
      </c>
    </row>
    <row r="308" spans="1:19">
      <c r="A308" s="523"/>
      <c r="C308" t="s">
        <v>1026</v>
      </c>
      <c r="F308" s="14"/>
      <c r="G308" s="14"/>
      <c r="H308" s="14"/>
      <c r="I308" s="14"/>
      <c r="J308" s="14"/>
      <c r="K308" s="14"/>
      <c r="L308" s="14"/>
      <c r="M308" s="559">
        <f t="shared" ref="M308:R308" si="81">M307-M306</f>
        <v>277174.43999999994</v>
      </c>
      <c r="N308" s="559">
        <f t="shared" si="81"/>
        <v>230587.43999999994</v>
      </c>
      <c r="O308" s="559">
        <f t="shared" si="81"/>
        <v>228293.43999999994</v>
      </c>
      <c r="P308" s="559">
        <f t="shared" si="81"/>
        <v>200046.43999999994</v>
      </c>
      <c r="Q308" s="559">
        <f t="shared" si="81"/>
        <v>118496.79999999981</v>
      </c>
      <c r="R308" s="559">
        <f t="shared" si="81"/>
        <v>-64988.64000000013</v>
      </c>
    </row>
    <row r="309" spans="1:19">
      <c r="A309" s="523"/>
      <c r="C309" s="16" t="s">
        <v>468</v>
      </c>
      <c r="F309" s="14"/>
      <c r="G309" s="14"/>
      <c r="H309" s="14"/>
      <c r="I309" s="14"/>
      <c r="J309" s="14"/>
      <c r="K309" s="14"/>
      <c r="L309" s="14"/>
      <c r="M309" s="14"/>
      <c r="N309" s="14">
        <f>N308-M308</f>
        <v>-46587</v>
      </c>
      <c r="O309" s="14">
        <f>O308-N308</f>
        <v>-2294</v>
      </c>
      <c r="P309" s="14">
        <f>P308-O308</f>
        <v>-28247</v>
      </c>
      <c r="Q309" s="14">
        <f>Q308-P308</f>
        <v>-81549.64000000013</v>
      </c>
      <c r="R309" s="14">
        <f>R308-Q308</f>
        <v>-183485.43999999994</v>
      </c>
    </row>
    <row r="310" spans="1:19">
      <c r="A310" s="523"/>
      <c r="C310" s="4" t="s">
        <v>1029</v>
      </c>
      <c r="D310" s="4"/>
      <c r="E310" s="4"/>
      <c r="F310" s="18"/>
      <c r="G310" s="18"/>
      <c r="H310" s="18"/>
      <c r="I310" s="18"/>
      <c r="J310" s="18"/>
      <c r="K310" s="18"/>
      <c r="L310" s="18"/>
      <c r="M310" s="602"/>
      <c r="N310" s="602">
        <f>N270</f>
        <v>-113928</v>
      </c>
      <c r="O310" s="602">
        <v>0</v>
      </c>
      <c r="P310" s="602">
        <v>0</v>
      </c>
      <c r="Q310" s="602">
        <f>Q270</f>
        <v>-103270</v>
      </c>
      <c r="R310" s="602">
        <f>R270</f>
        <v>-2610</v>
      </c>
    </row>
    <row r="311" spans="1:19">
      <c r="A311" s="523"/>
      <c r="C311" s="663" t="s">
        <v>1030</v>
      </c>
      <c r="D311" s="656"/>
      <c r="E311" s="656"/>
      <c r="F311" s="636">
        <v>1999</v>
      </c>
      <c r="G311" s="636">
        <f>F311+1</f>
        <v>2000</v>
      </c>
      <c r="H311" s="636">
        <f t="shared" ref="H311:N311" si="82">G311+1</f>
        <v>2001</v>
      </c>
      <c r="I311" s="636">
        <f t="shared" si="82"/>
        <v>2002</v>
      </c>
      <c r="J311" s="636">
        <f t="shared" si="82"/>
        <v>2003</v>
      </c>
      <c r="K311" s="636">
        <f t="shared" si="82"/>
        <v>2004</v>
      </c>
      <c r="L311" s="636">
        <f t="shared" si="82"/>
        <v>2005</v>
      </c>
      <c r="M311" s="636">
        <f t="shared" si="82"/>
        <v>2006</v>
      </c>
      <c r="N311" s="636">
        <f t="shared" si="82"/>
        <v>2007</v>
      </c>
      <c r="O311" s="636">
        <f>N311+1</f>
        <v>2008</v>
      </c>
      <c r="P311" s="636">
        <f>O311+1</f>
        <v>2009</v>
      </c>
      <c r="Q311" s="636">
        <f>P311+1</f>
        <v>2010</v>
      </c>
      <c r="R311" s="636">
        <f>Q311+1</f>
        <v>2011</v>
      </c>
    </row>
    <row r="312" spans="1:19">
      <c r="A312" s="523"/>
      <c r="F312" s="2"/>
      <c r="G312" s="2"/>
      <c r="H312" s="2"/>
      <c r="I312" s="2"/>
      <c r="J312" s="2"/>
      <c r="K312" s="2"/>
      <c r="L312" s="2"/>
      <c r="M312" s="2" t="s">
        <v>1031</v>
      </c>
      <c r="N312" s="2"/>
      <c r="O312" s="664" t="s">
        <v>1032</v>
      </c>
      <c r="P312" s="665" t="s">
        <v>1033</v>
      </c>
      <c r="Q312" s="666"/>
    </row>
    <row r="313" spans="1:19">
      <c r="A313" s="523"/>
      <c r="C313" t="s">
        <v>15</v>
      </c>
      <c r="F313" s="2"/>
      <c r="G313" s="2"/>
      <c r="H313" s="2"/>
      <c r="I313" s="2"/>
      <c r="J313" s="2"/>
      <c r="K313" s="2"/>
      <c r="L313" s="2"/>
      <c r="M313" s="246">
        <f>M47</f>
        <v>1652713</v>
      </c>
      <c r="N313" s="246">
        <f>N47</f>
        <v>2746509</v>
      </c>
      <c r="O313" s="667">
        <f>N313-M313</f>
        <v>1093796</v>
      </c>
      <c r="P313" s="9">
        <v>1455000</v>
      </c>
      <c r="Q313" s="181"/>
      <c r="R313" s="14"/>
    </row>
    <row r="314" spans="1:19">
      <c r="A314" s="523"/>
      <c r="C314" t="s">
        <v>189</v>
      </c>
      <c r="F314" s="2"/>
      <c r="G314" s="2"/>
      <c r="H314" s="2"/>
      <c r="I314" s="2"/>
      <c r="J314" s="2"/>
      <c r="K314" s="2"/>
      <c r="L314" s="2"/>
      <c r="M314" s="2">
        <f>M313-M315</f>
        <v>681754</v>
      </c>
      <c r="N314" s="2">
        <f>N313-N315</f>
        <v>1414737</v>
      </c>
      <c r="O314" s="667">
        <f>N314-M314</f>
        <v>732983</v>
      </c>
      <c r="P314" s="9">
        <f>P313-P315</f>
        <v>978927</v>
      </c>
      <c r="Q314" s="181"/>
    </row>
    <row r="315" spans="1:19">
      <c r="A315" s="523"/>
      <c r="C315" t="s">
        <v>326</v>
      </c>
      <c r="F315" s="2"/>
      <c r="G315" s="2"/>
      <c r="H315" s="2"/>
      <c r="I315" s="2"/>
      <c r="J315" s="2"/>
      <c r="K315" s="2"/>
      <c r="L315" s="2"/>
      <c r="M315" s="2">
        <f>M40</f>
        <v>970959</v>
      </c>
      <c r="N315" s="2">
        <f>N40</f>
        <v>1331772</v>
      </c>
      <c r="O315" s="667">
        <f>N315-M315</f>
        <v>360813</v>
      </c>
      <c r="P315" s="9">
        <v>476073</v>
      </c>
      <c r="Q315" s="668">
        <f>P315-O315</f>
        <v>115260</v>
      </c>
      <c r="R315" s="669" t="s">
        <v>1034</v>
      </c>
    </row>
    <row r="316" spans="1:19">
      <c r="A316" s="523"/>
      <c r="F316" s="2"/>
      <c r="G316" s="2"/>
      <c r="H316" s="2"/>
      <c r="I316" s="2"/>
      <c r="J316" s="9"/>
      <c r="K316" s="2"/>
      <c r="L316" s="9" t="s">
        <v>468</v>
      </c>
      <c r="N316" s="9"/>
      <c r="O316" s="670"/>
      <c r="P316" s="4"/>
      <c r="Q316" s="671">
        <v>114173</v>
      </c>
      <c r="R316" s="2" t="s">
        <v>1013</v>
      </c>
    </row>
    <row r="317" spans="1:19">
      <c r="A317" s="523"/>
      <c r="F317" s="2"/>
      <c r="G317" s="2"/>
      <c r="H317" s="2"/>
      <c r="I317" s="2"/>
      <c r="J317" s="2"/>
      <c r="K317" s="2"/>
      <c r="L317" s="9" t="s">
        <v>1035</v>
      </c>
      <c r="M317" s="9">
        <v>-824177</v>
      </c>
      <c r="N317" s="9">
        <v>-1192386</v>
      </c>
      <c r="P317" s="2"/>
      <c r="R317" s="2"/>
    </row>
    <row r="318" spans="1:19">
      <c r="A318" s="523"/>
      <c r="F318" s="2"/>
      <c r="G318" s="2"/>
      <c r="H318" s="2"/>
      <c r="I318" s="2"/>
      <c r="J318" s="2"/>
      <c r="K318" s="2"/>
      <c r="L318" s="9" t="s">
        <v>1036</v>
      </c>
      <c r="M318" s="9">
        <v>818870</v>
      </c>
      <c r="N318" s="9">
        <v>1178793</v>
      </c>
      <c r="P318" s="2"/>
      <c r="Q318" s="9"/>
      <c r="R318" s="2"/>
    </row>
    <row r="319" spans="1:19">
      <c r="A319" s="523"/>
      <c r="F319" s="2"/>
      <c r="G319" s="2"/>
      <c r="H319" s="2"/>
      <c r="I319" s="2"/>
      <c r="J319" s="2"/>
      <c r="K319" s="2"/>
      <c r="L319" s="2"/>
      <c r="M319" s="2"/>
      <c r="N319" s="2"/>
      <c r="O319" s="2"/>
      <c r="P319" s="2"/>
      <c r="S319" s="672" t="s">
        <v>1037</v>
      </c>
    </row>
    <row r="320" spans="1:19">
      <c r="A320" s="523"/>
      <c r="C320" t="s">
        <v>328</v>
      </c>
      <c r="F320" s="9"/>
      <c r="G320" s="9">
        <f t="shared" ref="G320:R320" si="83">G47</f>
        <v>77813</v>
      </c>
      <c r="H320" s="9">
        <f t="shared" si="83"/>
        <v>77813</v>
      </c>
      <c r="I320" s="9">
        <f t="shared" si="83"/>
        <v>77802</v>
      </c>
      <c r="J320" s="9">
        <f t="shared" si="83"/>
        <v>677802</v>
      </c>
      <c r="K320" s="9">
        <f t="shared" si="83"/>
        <v>677802</v>
      </c>
      <c r="L320" s="9">
        <f t="shared" si="83"/>
        <v>677802</v>
      </c>
      <c r="M320" s="9">
        <f t="shared" si="83"/>
        <v>1652713</v>
      </c>
      <c r="N320" s="9">
        <f t="shared" si="83"/>
        <v>2746509</v>
      </c>
      <c r="O320" s="9">
        <f t="shared" si="83"/>
        <v>2737795</v>
      </c>
      <c r="P320" s="9">
        <f t="shared" si="83"/>
        <v>2737092</v>
      </c>
      <c r="Q320" s="9">
        <f t="shared" si="83"/>
        <v>3686651</v>
      </c>
      <c r="R320" s="9">
        <f t="shared" si="83"/>
        <v>3392516</v>
      </c>
      <c r="S320" s="673">
        <f>N320-M320</f>
        <v>1093796</v>
      </c>
    </row>
    <row r="321" spans="1:19">
      <c r="A321" s="523"/>
      <c r="C321" t="s">
        <v>468</v>
      </c>
      <c r="F321" s="9">
        <f>F320-E320</f>
        <v>0</v>
      </c>
      <c r="G321" s="9">
        <f>G320-F320</f>
        <v>77813</v>
      </c>
      <c r="H321" s="9">
        <f>H320-G320</f>
        <v>0</v>
      </c>
      <c r="I321" s="9">
        <f>I320-H320</f>
        <v>-11</v>
      </c>
      <c r="J321" s="9">
        <f>J320-I320</f>
        <v>600000</v>
      </c>
      <c r="K321" s="9">
        <f t="shared" ref="K321:P321" si="84">K320-J320</f>
        <v>0</v>
      </c>
      <c r="L321" s="9">
        <f t="shared" si="84"/>
        <v>0</v>
      </c>
      <c r="M321" s="9">
        <f t="shared" si="84"/>
        <v>974911</v>
      </c>
      <c r="N321" s="9">
        <f t="shared" si="84"/>
        <v>1093796</v>
      </c>
      <c r="O321" s="9">
        <f t="shared" si="84"/>
        <v>-8714</v>
      </c>
      <c r="P321" s="9">
        <f t="shared" si="84"/>
        <v>-703</v>
      </c>
      <c r="Q321" s="9">
        <f>Q320-P320</f>
        <v>949559</v>
      </c>
      <c r="R321" s="9">
        <f>R320-Q320</f>
        <v>-294135</v>
      </c>
      <c r="S321" s="673">
        <f>N321-M321</f>
        <v>118885</v>
      </c>
    </row>
    <row r="322" spans="1:19">
      <c r="A322" s="523"/>
      <c r="F322" s="9"/>
      <c r="G322" s="9"/>
      <c r="H322" s="9"/>
      <c r="I322" s="9"/>
      <c r="J322" s="9"/>
      <c r="K322" s="9"/>
      <c r="L322" s="9"/>
      <c r="M322" s="9"/>
      <c r="N322" s="9"/>
      <c r="O322" s="9"/>
      <c r="P322" s="9"/>
      <c r="Q322" s="9"/>
      <c r="R322" s="9"/>
      <c r="S322" s="673"/>
    </row>
    <row r="323" spans="1:19">
      <c r="A323" s="523"/>
      <c r="C323" t="s">
        <v>326</v>
      </c>
      <c r="F323" s="9">
        <f t="shared" ref="F323:R323" si="85">F40</f>
        <v>5014</v>
      </c>
      <c r="G323" s="9">
        <f t="shared" si="85"/>
        <v>28728</v>
      </c>
      <c r="H323" s="9">
        <f t="shared" si="85"/>
        <v>66401</v>
      </c>
      <c r="I323" s="9">
        <f t="shared" si="85"/>
        <v>92031</v>
      </c>
      <c r="J323" s="9">
        <f t="shared" si="85"/>
        <v>138871</v>
      </c>
      <c r="K323" s="9">
        <f t="shared" si="85"/>
        <v>145260</v>
      </c>
      <c r="L323" s="9">
        <f t="shared" si="85"/>
        <v>179168</v>
      </c>
      <c r="M323" s="9">
        <f t="shared" si="85"/>
        <v>970959</v>
      </c>
      <c r="N323" s="9">
        <f t="shared" si="85"/>
        <v>1331772</v>
      </c>
      <c r="O323" s="9">
        <f t="shared" si="85"/>
        <v>1329478</v>
      </c>
      <c r="P323" s="9">
        <f t="shared" si="85"/>
        <v>1301231</v>
      </c>
      <c r="Q323" s="9">
        <f t="shared" si="85"/>
        <v>1559507</v>
      </c>
      <c r="R323" s="9">
        <f t="shared" si="85"/>
        <v>1412330</v>
      </c>
      <c r="S323" s="673">
        <f>N323-M323</f>
        <v>360813</v>
      </c>
    </row>
    <row r="324" spans="1:19">
      <c r="A324" s="523"/>
      <c r="C324" t="s">
        <v>1038</v>
      </c>
      <c r="F324" s="10">
        <f t="shared" ref="F324:P324" si="86">F320-F323</f>
        <v>-5014</v>
      </c>
      <c r="G324" s="10">
        <f t="shared" si="86"/>
        <v>49085</v>
      </c>
      <c r="H324" s="10">
        <f t="shared" si="86"/>
        <v>11412</v>
      </c>
      <c r="I324" s="10">
        <f t="shared" si="86"/>
        <v>-14229</v>
      </c>
      <c r="J324" s="10">
        <f t="shared" si="86"/>
        <v>538931</v>
      </c>
      <c r="K324" s="10">
        <f t="shared" si="86"/>
        <v>532542</v>
      </c>
      <c r="L324" s="10">
        <f t="shared" si="86"/>
        <v>498634</v>
      </c>
      <c r="M324" s="10">
        <f t="shared" si="86"/>
        <v>681754</v>
      </c>
      <c r="N324" s="10">
        <f t="shared" si="86"/>
        <v>1414737</v>
      </c>
      <c r="O324" s="10">
        <f t="shared" si="86"/>
        <v>1408317</v>
      </c>
      <c r="P324" s="10">
        <f t="shared" si="86"/>
        <v>1435861</v>
      </c>
      <c r="Q324" s="10">
        <f>Q320-Q323</f>
        <v>2127144</v>
      </c>
      <c r="R324" s="10">
        <f>R320-R323</f>
        <v>1980186</v>
      </c>
      <c r="S324" s="674">
        <f>N324-M324</f>
        <v>732983</v>
      </c>
    </row>
    <row r="325" spans="1:19">
      <c r="A325" s="523"/>
      <c r="C325" s="4" t="s">
        <v>328</v>
      </c>
      <c r="D325" s="4"/>
      <c r="E325" s="4"/>
      <c r="F325" s="10">
        <f t="shared" ref="F325:P325" si="87">F323+F324</f>
        <v>0</v>
      </c>
      <c r="G325" s="10">
        <f t="shared" si="87"/>
        <v>77813</v>
      </c>
      <c r="H325" s="10">
        <f t="shared" si="87"/>
        <v>77813</v>
      </c>
      <c r="I325" s="10">
        <f t="shared" si="87"/>
        <v>77802</v>
      </c>
      <c r="J325" s="10">
        <f t="shared" si="87"/>
        <v>677802</v>
      </c>
      <c r="K325" s="10">
        <f t="shared" si="87"/>
        <v>677802</v>
      </c>
      <c r="L325" s="10">
        <f t="shared" si="87"/>
        <v>677802</v>
      </c>
      <c r="M325" s="10">
        <f t="shared" si="87"/>
        <v>1652713</v>
      </c>
      <c r="N325" s="10">
        <f t="shared" si="87"/>
        <v>2746509</v>
      </c>
      <c r="O325" s="10">
        <f t="shared" si="87"/>
        <v>2737795</v>
      </c>
      <c r="P325" s="10">
        <f t="shared" si="87"/>
        <v>2737092</v>
      </c>
      <c r="Q325" s="10">
        <f>Q323+Q324</f>
        <v>3686651</v>
      </c>
      <c r="R325" s="10">
        <f>R323+R324</f>
        <v>3392516</v>
      </c>
      <c r="S325" s="674">
        <f>N325-M325</f>
        <v>1093796</v>
      </c>
    </row>
    <row r="326" spans="1:19">
      <c r="A326" s="523">
        <v>4</v>
      </c>
      <c r="C326" s="520" t="s">
        <v>1039</v>
      </c>
      <c r="D326" s="520"/>
      <c r="E326" s="520"/>
      <c r="F326" s="636">
        <v>1999</v>
      </c>
      <c r="G326" s="636">
        <f t="shared" ref="G326:R326" si="88">F326+1</f>
        <v>2000</v>
      </c>
      <c r="H326" s="636">
        <f t="shared" si="88"/>
        <v>2001</v>
      </c>
      <c r="I326" s="636">
        <f t="shared" si="88"/>
        <v>2002</v>
      </c>
      <c r="J326" s="636">
        <f t="shared" si="88"/>
        <v>2003</v>
      </c>
      <c r="K326" s="636">
        <f t="shared" si="88"/>
        <v>2004</v>
      </c>
      <c r="L326" s="636">
        <f t="shared" si="88"/>
        <v>2005</v>
      </c>
      <c r="M326" s="636">
        <f t="shared" si="88"/>
        <v>2006</v>
      </c>
      <c r="N326" s="636">
        <f t="shared" si="88"/>
        <v>2007</v>
      </c>
      <c r="O326" s="636">
        <f t="shared" si="88"/>
        <v>2008</v>
      </c>
      <c r="P326" s="636">
        <f t="shared" si="88"/>
        <v>2009</v>
      </c>
      <c r="Q326" s="636">
        <f t="shared" si="88"/>
        <v>2010</v>
      </c>
      <c r="R326" s="636">
        <f t="shared" si="88"/>
        <v>2011</v>
      </c>
    </row>
    <row r="327" spans="1:19">
      <c r="A327" s="523"/>
      <c r="C327" s="16" t="s">
        <v>1040</v>
      </c>
      <c r="D327" s="614"/>
      <c r="E327" s="614"/>
      <c r="F327" s="260">
        <v>0</v>
      </c>
      <c r="G327" s="260">
        <v>0</v>
      </c>
      <c r="H327" s="260">
        <v>0</v>
      </c>
      <c r="I327" s="260">
        <v>0</v>
      </c>
      <c r="J327" s="260">
        <v>0</v>
      </c>
      <c r="K327" s="260">
        <v>0</v>
      </c>
      <c r="L327" s="260">
        <v>0</v>
      </c>
      <c r="M327" s="260">
        <v>0.33</v>
      </c>
      <c r="N327" s="260">
        <v>0.3</v>
      </c>
      <c r="O327" s="260">
        <v>0.3</v>
      </c>
      <c r="P327" s="260">
        <v>0.3</v>
      </c>
      <c r="Q327" s="260">
        <v>0.28000000000000003</v>
      </c>
      <c r="R327" s="260">
        <v>0.28000000000000003</v>
      </c>
    </row>
    <row r="328" spans="1:19">
      <c r="A328" s="523"/>
      <c r="C328" t="s">
        <v>1041</v>
      </c>
      <c r="F328" s="14">
        <f t="shared" ref="F328:R328" si="89">F142</f>
        <v>0</v>
      </c>
      <c r="G328" s="14">
        <f t="shared" si="89"/>
        <v>-77813</v>
      </c>
      <c r="H328" s="14">
        <f t="shared" si="89"/>
        <v>-77813</v>
      </c>
      <c r="I328" s="14">
        <f t="shared" si="89"/>
        <v>-77802</v>
      </c>
      <c r="J328" s="14">
        <f t="shared" si="89"/>
        <v>-677802</v>
      </c>
      <c r="K328" s="14">
        <f t="shared" si="89"/>
        <v>-677802</v>
      </c>
      <c r="L328" s="14">
        <f t="shared" si="89"/>
        <v>-677802</v>
      </c>
      <c r="M328" s="14">
        <f t="shared" si="89"/>
        <v>-2477802</v>
      </c>
      <c r="N328" s="14">
        <f t="shared" si="89"/>
        <v>-3932802</v>
      </c>
      <c r="O328" s="14">
        <f t="shared" si="89"/>
        <v>-3932802</v>
      </c>
      <c r="P328" s="14">
        <f t="shared" si="89"/>
        <v>-3932802</v>
      </c>
      <c r="Q328" s="14">
        <f t="shared" si="89"/>
        <v>-5146465</v>
      </c>
      <c r="R328" s="14">
        <f t="shared" si="89"/>
        <v>-5276138</v>
      </c>
      <c r="S328" t="s">
        <v>1042</v>
      </c>
    </row>
    <row r="329" spans="1:19">
      <c r="A329" s="523"/>
      <c r="C329" t="s">
        <v>1043</v>
      </c>
      <c r="F329" s="14">
        <f t="shared" ref="F329:R329" si="90">F294</f>
        <v>0</v>
      </c>
      <c r="G329" s="14">
        <f t="shared" si="90"/>
        <v>77813</v>
      </c>
      <c r="H329" s="14">
        <f t="shared" si="90"/>
        <v>77813</v>
      </c>
      <c r="I329" s="14">
        <f t="shared" si="90"/>
        <v>77802</v>
      </c>
      <c r="J329" s="14">
        <f t="shared" si="90"/>
        <v>677802</v>
      </c>
      <c r="K329" s="14">
        <f t="shared" si="90"/>
        <v>677802</v>
      </c>
      <c r="L329" s="14">
        <f t="shared" si="90"/>
        <v>677802</v>
      </c>
      <c r="M329" s="14">
        <f t="shared" si="90"/>
        <v>1652713</v>
      </c>
      <c r="N329" s="14">
        <f t="shared" si="90"/>
        <v>2746509</v>
      </c>
      <c r="O329" s="14">
        <f t="shared" si="90"/>
        <v>2737795</v>
      </c>
      <c r="P329" s="14">
        <f t="shared" si="90"/>
        <v>2737092</v>
      </c>
      <c r="Q329" s="14">
        <f t="shared" si="90"/>
        <v>3686651</v>
      </c>
      <c r="R329" s="14">
        <f t="shared" si="90"/>
        <v>3392516</v>
      </c>
      <c r="S329" t="s">
        <v>1044</v>
      </c>
    </row>
    <row r="330" spans="1:19">
      <c r="A330" s="523"/>
      <c r="C330" s="4" t="s">
        <v>945</v>
      </c>
      <c r="D330" s="4"/>
      <c r="E330" s="4"/>
      <c r="F330" s="18"/>
      <c r="G330" s="18"/>
      <c r="H330" s="18"/>
      <c r="I330" s="18"/>
      <c r="J330" s="18"/>
      <c r="K330" s="18"/>
      <c r="L330" s="18"/>
      <c r="M330" s="18">
        <f t="shared" ref="M330:R330" si="91">M327*M328</f>
        <v>-817674.66</v>
      </c>
      <c r="N330" s="18">
        <f t="shared" si="91"/>
        <v>-1179840.5999999999</v>
      </c>
      <c r="O330" s="18">
        <f t="shared" si="91"/>
        <v>-1179840.5999999999</v>
      </c>
      <c r="P330" s="18">
        <f t="shared" si="91"/>
        <v>-1179840.5999999999</v>
      </c>
      <c r="Q330" s="18">
        <f t="shared" si="91"/>
        <v>-1441010.2000000002</v>
      </c>
      <c r="R330" s="18">
        <f t="shared" si="91"/>
        <v>-1477318.6400000001</v>
      </c>
      <c r="S330" t="s">
        <v>1045</v>
      </c>
    </row>
    <row r="331" spans="1:19">
      <c r="A331" s="523"/>
      <c r="C331" s="16" t="s">
        <v>1040</v>
      </c>
      <c r="F331" s="47"/>
      <c r="G331" s="14"/>
      <c r="H331" s="14"/>
      <c r="I331" s="14"/>
      <c r="J331" s="14"/>
      <c r="K331" s="14"/>
      <c r="L331" s="14"/>
      <c r="M331" s="675">
        <v>0.28000000000000003</v>
      </c>
      <c r="N331" s="676">
        <v>0.28000000000000003</v>
      </c>
      <c r="O331" s="676">
        <v>0.28000000000000003</v>
      </c>
      <c r="P331" s="676">
        <v>0.28000000000000003</v>
      </c>
      <c r="Q331" s="676">
        <v>0.28000000000000003</v>
      </c>
      <c r="R331" s="676">
        <v>0.28000000000000003</v>
      </c>
      <c r="S331" t="s">
        <v>1046</v>
      </c>
    </row>
    <row r="332" spans="1:19">
      <c r="A332" s="523"/>
      <c r="C332" t="s">
        <v>1041</v>
      </c>
      <c r="F332" s="654">
        <f t="shared" ref="F332:R332" si="92">+F142</f>
        <v>0</v>
      </c>
      <c r="G332" s="654">
        <f t="shared" si="92"/>
        <v>-77813</v>
      </c>
      <c r="H332" s="654">
        <f t="shared" si="92"/>
        <v>-77813</v>
      </c>
      <c r="I332" s="654">
        <f t="shared" si="92"/>
        <v>-77802</v>
      </c>
      <c r="J332" s="654">
        <f t="shared" si="92"/>
        <v>-677802</v>
      </c>
      <c r="K332" s="654">
        <f t="shared" si="92"/>
        <v>-677802</v>
      </c>
      <c r="L332" s="654">
        <f t="shared" si="92"/>
        <v>-677802</v>
      </c>
      <c r="M332" s="654">
        <f t="shared" si="92"/>
        <v>-2477802</v>
      </c>
      <c r="N332" s="654">
        <f t="shared" si="92"/>
        <v>-3932802</v>
      </c>
      <c r="O332" s="654">
        <f t="shared" si="92"/>
        <v>-3932802</v>
      </c>
      <c r="P332" s="654">
        <f t="shared" si="92"/>
        <v>-3932802</v>
      </c>
      <c r="Q332" s="654">
        <f t="shared" si="92"/>
        <v>-5146465</v>
      </c>
      <c r="R332" s="654">
        <f t="shared" si="92"/>
        <v>-5276138</v>
      </c>
      <c r="S332" t="s">
        <v>1042</v>
      </c>
    </row>
    <row r="333" spans="1:19">
      <c r="A333" s="523"/>
      <c r="C333" t="s">
        <v>1043</v>
      </c>
      <c r="F333" s="654">
        <f>F329</f>
        <v>0</v>
      </c>
      <c r="G333" s="654">
        <f t="shared" ref="G333:L333" si="93">G329</f>
        <v>77813</v>
      </c>
      <c r="H333" s="654">
        <f t="shared" si="93"/>
        <v>77813</v>
      </c>
      <c r="I333" s="654">
        <f t="shared" si="93"/>
        <v>77802</v>
      </c>
      <c r="J333" s="654">
        <f t="shared" si="93"/>
        <v>677802</v>
      </c>
      <c r="K333" s="654">
        <f t="shared" si="93"/>
        <v>677802</v>
      </c>
      <c r="L333" s="654">
        <f t="shared" si="93"/>
        <v>677802</v>
      </c>
      <c r="M333" s="654">
        <f t="shared" ref="M333:R333" si="94">M334-M332</f>
        <v>1784017.44</v>
      </c>
      <c r="N333" s="654">
        <f t="shared" si="94"/>
        <v>2831617.44</v>
      </c>
      <c r="O333" s="654">
        <f t="shared" si="94"/>
        <v>2831617.44</v>
      </c>
      <c r="P333" s="654">
        <f t="shared" si="94"/>
        <v>2831617.44</v>
      </c>
      <c r="Q333" s="654">
        <f t="shared" si="94"/>
        <v>3705454.8</v>
      </c>
      <c r="R333" s="654">
        <f t="shared" si="94"/>
        <v>3798819.36</v>
      </c>
      <c r="S333" t="s">
        <v>1044</v>
      </c>
    </row>
    <row r="334" spans="1:19">
      <c r="A334" s="523"/>
      <c r="C334" t="s">
        <v>945</v>
      </c>
      <c r="F334" s="491"/>
      <c r="G334" s="654"/>
      <c r="H334" s="654"/>
      <c r="I334" s="654"/>
      <c r="J334" s="654"/>
      <c r="K334" s="654"/>
      <c r="L334" s="654"/>
      <c r="M334" s="602">
        <f t="shared" ref="M334:R334" si="95">M332*M331</f>
        <v>-693784.56</v>
      </c>
      <c r="N334" s="602">
        <f t="shared" si="95"/>
        <v>-1101184.56</v>
      </c>
      <c r="O334" s="602">
        <f t="shared" si="95"/>
        <v>-1101184.56</v>
      </c>
      <c r="P334" s="602">
        <f t="shared" si="95"/>
        <v>-1101184.56</v>
      </c>
      <c r="Q334" s="602">
        <f t="shared" si="95"/>
        <v>-1441010.2000000002</v>
      </c>
      <c r="R334" s="602">
        <f t="shared" si="95"/>
        <v>-1477318.6400000001</v>
      </c>
      <c r="S334" t="s">
        <v>1045</v>
      </c>
    </row>
    <row r="335" spans="1:19">
      <c r="A335" s="523"/>
      <c r="F335" s="47"/>
      <c r="G335" s="14"/>
      <c r="H335" s="14"/>
      <c r="I335" s="14"/>
      <c r="J335" s="14"/>
      <c r="K335" t="s">
        <v>127</v>
      </c>
      <c r="L335" t="s">
        <v>1047</v>
      </c>
      <c r="M335" s="14">
        <f t="shared" ref="M335:R335" si="96">M330-M334</f>
        <v>-123890.09999999998</v>
      </c>
      <c r="N335" s="14">
        <f t="shared" si="96"/>
        <v>-78656.039999999804</v>
      </c>
      <c r="O335" s="14">
        <f t="shared" si="96"/>
        <v>-78656.039999999804</v>
      </c>
      <c r="P335" s="14">
        <f t="shared" si="96"/>
        <v>-78656.039999999804</v>
      </c>
      <c r="Q335" s="14">
        <f t="shared" si="96"/>
        <v>0</v>
      </c>
      <c r="R335" s="14">
        <f t="shared" si="96"/>
        <v>0</v>
      </c>
      <c r="S335" t="s">
        <v>1048</v>
      </c>
    </row>
    <row r="336" spans="1:19">
      <c r="A336" s="523"/>
      <c r="C336" s="1"/>
      <c r="F336" s="14"/>
      <c r="G336" s="14"/>
      <c r="H336" s="14"/>
      <c r="I336" s="14"/>
      <c r="J336" s="14"/>
      <c r="K336" t="s">
        <v>127</v>
      </c>
      <c r="L336" s="14" t="s">
        <v>1049</v>
      </c>
      <c r="M336" s="14">
        <f t="shared" ref="M336:R336" si="97">M329-M333</f>
        <v>-131304.43999999994</v>
      </c>
      <c r="N336" s="14">
        <f t="shared" si="97"/>
        <v>-85108.439999999944</v>
      </c>
      <c r="O336" s="14">
        <f t="shared" si="97"/>
        <v>-93822.439999999944</v>
      </c>
      <c r="P336" s="14">
        <f t="shared" si="97"/>
        <v>-94525.439999999944</v>
      </c>
      <c r="Q336" s="14">
        <f t="shared" si="97"/>
        <v>-18803.799999999814</v>
      </c>
      <c r="R336" s="14">
        <f t="shared" si="97"/>
        <v>-406303.35999999987</v>
      </c>
    </row>
    <row r="337" spans="1:19">
      <c r="A337" s="535"/>
      <c r="B337" s="4"/>
      <c r="C337" s="13"/>
      <c r="D337" s="4"/>
      <c r="E337" s="4"/>
      <c r="F337" s="4"/>
      <c r="G337" s="18"/>
      <c r="H337" s="18"/>
      <c r="I337" s="18"/>
      <c r="J337" s="18"/>
      <c r="K337" s="18"/>
      <c r="L337" s="18"/>
      <c r="M337" s="602"/>
      <c r="N337" s="602"/>
      <c r="O337" s="602"/>
      <c r="P337" s="602"/>
      <c r="Q337" s="602"/>
      <c r="R337" s="602"/>
    </row>
    <row r="338" spans="1:19">
      <c r="A338" s="523"/>
      <c r="C338" t="str">
        <f>C250</f>
        <v>Deferred Tax actual</v>
      </c>
      <c r="F338" s="14">
        <f>F40</f>
        <v>5014</v>
      </c>
      <c r="G338" s="14">
        <f t="shared" ref="G338:R338" si="98">G40</f>
        <v>28728</v>
      </c>
      <c r="H338" s="14">
        <f t="shared" si="98"/>
        <v>66401</v>
      </c>
      <c r="I338" s="14">
        <f t="shared" si="98"/>
        <v>92031</v>
      </c>
      <c r="J338" s="14">
        <f t="shared" si="98"/>
        <v>138871</v>
      </c>
      <c r="K338" s="14">
        <f t="shared" si="98"/>
        <v>145260</v>
      </c>
      <c r="L338" s="14">
        <f t="shared" si="98"/>
        <v>179168</v>
      </c>
      <c r="M338" s="14">
        <f t="shared" si="98"/>
        <v>970959</v>
      </c>
      <c r="N338" s="14">
        <f t="shared" si="98"/>
        <v>1331772</v>
      </c>
      <c r="O338" s="14">
        <f t="shared" si="98"/>
        <v>1329478</v>
      </c>
      <c r="P338" s="14">
        <f t="shared" si="98"/>
        <v>1301231</v>
      </c>
      <c r="Q338" s="14">
        <f t="shared" si="98"/>
        <v>1559507</v>
      </c>
      <c r="R338" s="14">
        <f t="shared" si="98"/>
        <v>1412330</v>
      </c>
      <c r="S338" s="14"/>
    </row>
    <row r="339" spans="1:19">
      <c r="A339" s="523">
        <v>313</v>
      </c>
      <c r="C339" t="s">
        <v>1050</v>
      </c>
      <c r="E339" s="677">
        <v>0.28000000000000003</v>
      </c>
      <c r="F339" s="14"/>
      <c r="G339" s="14"/>
      <c r="H339" s="14"/>
      <c r="I339" s="14"/>
      <c r="J339" s="14"/>
      <c r="K339" s="14"/>
      <c r="L339" s="14"/>
      <c r="M339" s="14">
        <f t="shared" ref="M339:R339" si="99">M334</f>
        <v>-693784.56</v>
      </c>
      <c r="N339" s="14">
        <f t="shared" si="99"/>
        <v>-1101184.56</v>
      </c>
      <c r="O339" s="14">
        <f t="shared" si="99"/>
        <v>-1101184.56</v>
      </c>
      <c r="P339" s="14">
        <f t="shared" si="99"/>
        <v>-1101184.56</v>
      </c>
      <c r="Q339" s="14">
        <f t="shared" si="99"/>
        <v>-1441010.2000000002</v>
      </c>
      <c r="R339" s="14">
        <f t="shared" si="99"/>
        <v>-1477318.6400000001</v>
      </c>
      <c r="S339" s="14"/>
    </row>
    <row r="340" spans="1:19">
      <c r="A340" s="523"/>
      <c r="C340" t="str">
        <f>C270</f>
        <v>Revaluation Reserve Tax Rate adj</v>
      </c>
      <c r="F340" s="14"/>
      <c r="G340" s="14"/>
      <c r="H340" s="14"/>
      <c r="I340" s="14"/>
      <c r="J340" s="14"/>
      <c r="K340" s="14"/>
      <c r="L340" s="14"/>
      <c r="M340" s="14"/>
      <c r="N340" s="14">
        <f>N270</f>
        <v>-113928</v>
      </c>
      <c r="O340" s="14">
        <f>O270</f>
        <v>0</v>
      </c>
      <c r="P340" s="14">
        <f>P270</f>
        <v>0</v>
      </c>
      <c r="Q340" s="14">
        <f>Q270</f>
        <v>-103270</v>
      </c>
      <c r="R340" s="14">
        <f>R270</f>
        <v>-2610</v>
      </c>
    </row>
    <row r="341" spans="1:19">
      <c r="A341" s="523"/>
      <c r="C341" t="str">
        <f>C256</f>
        <v>Disposal Subsidiary</v>
      </c>
      <c r="F341" s="14"/>
      <c r="G341" s="14"/>
      <c r="H341" s="14"/>
      <c r="I341" s="14"/>
      <c r="J341" s="14"/>
      <c r="K341" s="14"/>
      <c r="L341" s="14"/>
      <c r="M341" s="654">
        <f t="shared" ref="M341:R341" si="100">M256</f>
        <v>-22865</v>
      </c>
      <c r="N341" s="14">
        <f t="shared" si="100"/>
        <v>0</v>
      </c>
      <c r="O341" s="14">
        <f t="shared" si="100"/>
        <v>0</v>
      </c>
      <c r="P341" s="14">
        <f t="shared" si="100"/>
        <v>0</v>
      </c>
      <c r="Q341" s="14">
        <f t="shared" si="100"/>
        <v>0</v>
      </c>
      <c r="R341" s="14">
        <f t="shared" si="100"/>
        <v>0</v>
      </c>
    </row>
    <row r="342" spans="1:19">
      <c r="A342" s="523"/>
      <c r="C342" t="str">
        <f>C274</f>
        <v>Tax Depreciation change</v>
      </c>
      <c r="F342" s="18"/>
      <c r="G342" s="18"/>
      <c r="H342" s="18"/>
      <c r="I342" s="18"/>
      <c r="J342" s="18"/>
      <c r="K342" s="18"/>
      <c r="L342" s="18"/>
      <c r="M342" s="18"/>
      <c r="N342" s="18"/>
      <c r="O342" s="18"/>
      <c r="P342" s="18"/>
      <c r="Q342" s="678"/>
      <c r="R342" s="679"/>
    </row>
    <row r="343" spans="1:19">
      <c r="A343" s="523"/>
      <c r="C343" t="s">
        <v>1051</v>
      </c>
      <c r="F343" s="14">
        <f>SUM(F338:F342)</f>
        <v>5014</v>
      </c>
      <c r="G343" s="14">
        <f t="shared" ref="G343:Q343" si="101">SUM(G338:G342)</f>
        <v>28728</v>
      </c>
      <c r="H343" s="14">
        <f t="shared" si="101"/>
        <v>66401</v>
      </c>
      <c r="I343" s="14">
        <f t="shared" si="101"/>
        <v>92031</v>
      </c>
      <c r="J343" s="14">
        <f t="shared" si="101"/>
        <v>138871</v>
      </c>
      <c r="K343" s="14">
        <f t="shared" si="101"/>
        <v>145260</v>
      </c>
      <c r="L343" s="14">
        <f t="shared" si="101"/>
        <v>179168</v>
      </c>
      <c r="M343" s="14">
        <f t="shared" si="101"/>
        <v>254309.43999999994</v>
      </c>
      <c r="N343" s="14">
        <f t="shared" si="101"/>
        <v>116659.43999999994</v>
      </c>
      <c r="O343" s="14">
        <f t="shared" si="101"/>
        <v>228293.43999999994</v>
      </c>
      <c r="P343" s="14">
        <f t="shared" si="101"/>
        <v>200046.43999999994</v>
      </c>
      <c r="Q343" s="14">
        <f t="shared" si="101"/>
        <v>15226.799999999814</v>
      </c>
      <c r="R343" s="14">
        <f>SUM(R338:R342)</f>
        <v>-67598.64000000013</v>
      </c>
    </row>
    <row r="344" spans="1:19">
      <c r="A344" s="523"/>
      <c r="C344" t="s">
        <v>468</v>
      </c>
      <c r="F344" s="654"/>
      <c r="G344" s="654">
        <f>G343-F343</f>
        <v>23714</v>
      </c>
      <c r="H344" s="654">
        <f t="shared" ref="H344:R344" si="102">H343-G343</f>
        <v>37673</v>
      </c>
      <c r="I344" s="654">
        <f t="shared" si="102"/>
        <v>25630</v>
      </c>
      <c r="J344" s="654">
        <f t="shared" si="102"/>
        <v>46840</v>
      </c>
      <c r="K344" s="654">
        <f t="shared" si="102"/>
        <v>6389</v>
      </c>
      <c r="L344" s="654">
        <f t="shared" si="102"/>
        <v>33908</v>
      </c>
      <c r="M344" s="654">
        <f t="shared" si="102"/>
        <v>75141.439999999944</v>
      </c>
      <c r="N344" s="654">
        <f t="shared" si="102"/>
        <v>-137650</v>
      </c>
      <c r="O344" s="654">
        <f t="shared" si="102"/>
        <v>111634</v>
      </c>
      <c r="P344" s="654">
        <f t="shared" si="102"/>
        <v>-28247</v>
      </c>
      <c r="Q344" s="654">
        <f t="shared" si="102"/>
        <v>-184819.64000000013</v>
      </c>
      <c r="R344" s="654">
        <f t="shared" si="102"/>
        <v>-82825.439999999944</v>
      </c>
    </row>
    <row r="345" spans="1:19">
      <c r="A345" s="523"/>
      <c r="F345" s="14"/>
      <c r="G345" s="14"/>
      <c r="H345" s="14"/>
      <c r="I345" s="14"/>
      <c r="J345" s="14"/>
      <c r="K345" s="14"/>
      <c r="L345" s="14"/>
      <c r="M345" s="14"/>
      <c r="N345" s="14"/>
      <c r="O345" s="14"/>
      <c r="P345" s="14"/>
      <c r="Q345" s="14"/>
      <c r="R345" s="14"/>
    </row>
    <row r="346" spans="1:19">
      <c r="A346" s="523"/>
      <c r="C346" t="s">
        <v>1052</v>
      </c>
      <c r="F346" s="18"/>
      <c r="G346" s="18"/>
      <c r="H346" s="18"/>
      <c r="I346" s="18"/>
      <c r="J346" s="18"/>
      <c r="K346" s="18"/>
      <c r="L346" s="18"/>
      <c r="M346" s="602">
        <f>-M341</f>
        <v>22865</v>
      </c>
      <c r="N346" s="602">
        <f>-N340</f>
        <v>113928</v>
      </c>
      <c r="O346" s="602">
        <f>-O340</f>
        <v>0</v>
      </c>
      <c r="P346" s="602">
        <f>-P340</f>
        <v>0</v>
      </c>
      <c r="Q346" s="602">
        <f>-Q340-Q342</f>
        <v>103270</v>
      </c>
      <c r="R346" s="602">
        <f>-R340-R342</f>
        <v>2610</v>
      </c>
    </row>
    <row r="347" spans="1:19">
      <c r="A347" s="523"/>
      <c r="F347" s="14">
        <f>F343+F346</f>
        <v>5014</v>
      </c>
      <c r="G347" s="14">
        <f t="shared" ref="G347:Q347" si="103">G343+G346</f>
        <v>28728</v>
      </c>
      <c r="H347" s="14">
        <f t="shared" si="103"/>
        <v>66401</v>
      </c>
      <c r="I347" s="14">
        <f t="shared" si="103"/>
        <v>92031</v>
      </c>
      <c r="J347" s="14">
        <f t="shared" si="103"/>
        <v>138871</v>
      </c>
      <c r="K347" s="14">
        <f t="shared" si="103"/>
        <v>145260</v>
      </c>
      <c r="L347" s="14">
        <f t="shared" si="103"/>
        <v>179168</v>
      </c>
      <c r="M347" s="14">
        <f t="shared" si="103"/>
        <v>277174.43999999994</v>
      </c>
      <c r="N347" s="14">
        <f t="shared" si="103"/>
        <v>230587.43999999994</v>
      </c>
      <c r="O347" s="14">
        <f t="shared" si="103"/>
        <v>228293.43999999994</v>
      </c>
      <c r="P347" s="14">
        <f t="shared" si="103"/>
        <v>200046.43999999994</v>
      </c>
      <c r="Q347" s="14">
        <f t="shared" si="103"/>
        <v>118496.79999999981</v>
      </c>
      <c r="R347" s="14">
        <f>R343+R346</f>
        <v>-64988.64000000013</v>
      </c>
    </row>
    <row r="348" spans="1:19">
      <c r="A348" s="523"/>
      <c r="C348" t="s">
        <v>468</v>
      </c>
      <c r="F348" s="14"/>
      <c r="G348" s="14">
        <f>G347-F347</f>
        <v>23714</v>
      </c>
      <c r="H348" s="14">
        <f t="shared" ref="H348:R348" si="104">H347-G347</f>
        <v>37673</v>
      </c>
      <c r="I348" s="14">
        <f t="shared" si="104"/>
        <v>25630</v>
      </c>
      <c r="J348" s="14">
        <f t="shared" si="104"/>
        <v>46840</v>
      </c>
      <c r="K348" s="14">
        <f t="shared" si="104"/>
        <v>6389</v>
      </c>
      <c r="L348" s="14">
        <f t="shared" si="104"/>
        <v>33908</v>
      </c>
      <c r="M348" s="14">
        <f t="shared" si="104"/>
        <v>98006.439999999944</v>
      </c>
      <c r="N348" s="14">
        <f t="shared" si="104"/>
        <v>-46587</v>
      </c>
      <c r="O348" s="14">
        <f t="shared" si="104"/>
        <v>-2294</v>
      </c>
      <c r="P348" s="14">
        <f t="shared" si="104"/>
        <v>-28247</v>
      </c>
      <c r="Q348" s="14">
        <f t="shared" si="104"/>
        <v>-81549.64000000013</v>
      </c>
      <c r="R348" s="14">
        <f t="shared" si="104"/>
        <v>-183485.43999999994</v>
      </c>
      <c r="S348" s="14">
        <f>SUM(M348:Q348)</f>
        <v>-60671.200000000186</v>
      </c>
    </row>
    <row r="349" spans="1:19">
      <c r="A349" s="523"/>
      <c r="F349" s="14"/>
      <c r="G349" s="14"/>
      <c r="H349" s="14"/>
      <c r="I349" s="14"/>
      <c r="J349" s="14"/>
      <c r="K349" s="14"/>
      <c r="L349" s="14"/>
      <c r="M349" s="14"/>
      <c r="N349" s="14"/>
      <c r="O349" s="14"/>
      <c r="P349" s="14"/>
      <c r="Q349" s="14"/>
      <c r="R349" s="14"/>
    </row>
    <row r="350" spans="1:19">
      <c r="A350" s="523"/>
      <c r="C350" t="s">
        <v>12</v>
      </c>
      <c r="D350" s="217"/>
      <c r="E350" s="217"/>
      <c r="F350" s="217">
        <f>F40</f>
        <v>5014</v>
      </c>
      <c r="G350" s="217">
        <f t="shared" ref="G350:R350" si="105">G40</f>
        <v>28728</v>
      </c>
      <c r="H350" s="217">
        <f t="shared" si="105"/>
        <v>66401</v>
      </c>
      <c r="I350" s="217">
        <f t="shared" si="105"/>
        <v>92031</v>
      </c>
      <c r="J350" s="217">
        <f t="shared" si="105"/>
        <v>138871</v>
      </c>
      <c r="K350" s="217">
        <f t="shared" si="105"/>
        <v>145260</v>
      </c>
      <c r="L350" s="217">
        <f t="shared" si="105"/>
        <v>179168</v>
      </c>
      <c r="M350" s="217">
        <f t="shared" si="105"/>
        <v>970959</v>
      </c>
      <c r="N350" s="217">
        <f t="shared" si="105"/>
        <v>1331772</v>
      </c>
      <c r="O350" s="217">
        <f t="shared" si="105"/>
        <v>1329478</v>
      </c>
      <c r="P350" s="217">
        <f t="shared" si="105"/>
        <v>1301231</v>
      </c>
      <c r="Q350" s="217">
        <f t="shared" si="105"/>
        <v>1559507</v>
      </c>
      <c r="R350" s="217">
        <f t="shared" si="105"/>
        <v>1412330</v>
      </c>
    </row>
    <row r="351" spans="1:19">
      <c r="A351" s="523"/>
      <c r="C351" t="s">
        <v>468</v>
      </c>
      <c r="G351" s="8">
        <f>G350-F350</f>
        <v>23714</v>
      </c>
      <c r="H351" s="8">
        <f t="shared" ref="H351:R351" si="106">H350-G350</f>
        <v>37673</v>
      </c>
      <c r="I351" s="8">
        <f t="shared" si="106"/>
        <v>25630</v>
      </c>
      <c r="J351" s="8">
        <f t="shared" si="106"/>
        <v>46840</v>
      </c>
      <c r="K351" s="8">
        <f t="shared" si="106"/>
        <v>6389</v>
      </c>
      <c r="L351" s="8">
        <f t="shared" si="106"/>
        <v>33908</v>
      </c>
      <c r="M351" s="8">
        <f t="shared" si="106"/>
        <v>791791</v>
      </c>
      <c r="N351" s="8">
        <f t="shared" si="106"/>
        <v>360813</v>
      </c>
      <c r="O351" s="8">
        <f t="shared" si="106"/>
        <v>-2294</v>
      </c>
      <c r="P351" s="8">
        <f t="shared" si="106"/>
        <v>-28247</v>
      </c>
      <c r="Q351" s="8">
        <f t="shared" si="106"/>
        <v>258276</v>
      </c>
      <c r="R351" s="8">
        <f t="shared" si="106"/>
        <v>-147177</v>
      </c>
    </row>
    <row r="352" spans="1:19">
      <c r="A352" s="523"/>
      <c r="M352" s="14">
        <f>-M341</f>
        <v>22865</v>
      </c>
      <c r="N352" s="14">
        <f>-N340</f>
        <v>113928</v>
      </c>
      <c r="O352" s="14">
        <f>-O340</f>
        <v>0</v>
      </c>
      <c r="P352" s="14">
        <f>-P340</f>
        <v>0</v>
      </c>
      <c r="Q352" s="14">
        <f>-Q340</f>
        <v>103270</v>
      </c>
      <c r="R352" s="14">
        <f>-R340</f>
        <v>2610</v>
      </c>
    </row>
    <row r="353" spans="1:19">
      <c r="A353" s="523"/>
      <c r="F353" s="8">
        <f>+F350</f>
        <v>5014</v>
      </c>
      <c r="G353" s="8">
        <f t="shared" ref="G353:L353" si="107">+G350</f>
        <v>28728</v>
      </c>
      <c r="H353" s="8">
        <f t="shared" si="107"/>
        <v>66401</v>
      </c>
      <c r="I353" s="8">
        <f t="shared" si="107"/>
        <v>92031</v>
      </c>
      <c r="J353" s="8">
        <f t="shared" si="107"/>
        <v>138871</v>
      </c>
      <c r="K353" s="8">
        <f t="shared" si="107"/>
        <v>145260</v>
      </c>
      <c r="L353" s="8">
        <f t="shared" si="107"/>
        <v>179168</v>
      </c>
      <c r="M353" s="8">
        <f>M338+M341</f>
        <v>948094</v>
      </c>
      <c r="N353" s="14">
        <f>N338+N340</f>
        <v>1217844</v>
      </c>
      <c r="O353" s="14">
        <f>O338+O340</f>
        <v>1329478</v>
      </c>
      <c r="P353" s="14">
        <f>P338+P340</f>
        <v>1301231</v>
      </c>
      <c r="Q353" s="14">
        <f>Q338+Q340</f>
        <v>1456237</v>
      </c>
      <c r="R353" s="14">
        <f>R338+R340</f>
        <v>1409720</v>
      </c>
    </row>
    <row r="354" spans="1:19">
      <c r="A354" s="523"/>
      <c r="C354" t="s">
        <v>1053</v>
      </c>
      <c r="F354" s="491"/>
      <c r="G354" s="654">
        <f t="shared" ref="G354:R354" si="108">G353-F353</f>
        <v>23714</v>
      </c>
      <c r="H354" s="654">
        <f t="shared" si="108"/>
        <v>37673</v>
      </c>
      <c r="I354" s="654">
        <f t="shared" si="108"/>
        <v>25630</v>
      </c>
      <c r="J354" s="654">
        <f t="shared" si="108"/>
        <v>46840</v>
      </c>
      <c r="K354" s="654">
        <f t="shared" si="108"/>
        <v>6389</v>
      </c>
      <c r="L354" s="654">
        <f t="shared" si="108"/>
        <v>33908</v>
      </c>
      <c r="M354" s="654">
        <f t="shared" si="108"/>
        <v>768926</v>
      </c>
      <c r="N354" s="654">
        <f t="shared" si="108"/>
        <v>269750</v>
      </c>
      <c r="O354" s="654">
        <f t="shared" si="108"/>
        <v>111634</v>
      </c>
      <c r="P354" s="654">
        <f t="shared" si="108"/>
        <v>-28247</v>
      </c>
      <c r="Q354" s="654">
        <f t="shared" si="108"/>
        <v>155006</v>
      </c>
      <c r="R354" s="654">
        <f t="shared" si="108"/>
        <v>-46517</v>
      </c>
    </row>
    <row r="355" spans="1:19">
      <c r="A355" s="523"/>
    </row>
    <row r="356" spans="1:19">
      <c r="A356" s="525"/>
      <c r="B356" s="14"/>
      <c r="C356" s="14" t="s">
        <v>1054</v>
      </c>
      <c r="D356" s="14"/>
      <c r="E356" s="14"/>
      <c r="F356" s="14">
        <f>F338</f>
        <v>5014</v>
      </c>
      <c r="G356" s="14">
        <f t="shared" ref="G356:Q356" si="109">G338</f>
        <v>28728</v>
      </c>
      <c r="H356" s="14">
        <f t="shared" si="109"/>
        <v>66401</v>
      </c>
      <c r="I356" s="14">
        <f t="shared" si="109"/>
        <v>92031</v>
      </c>
      <c r="J356" s="14">
        <f t="shared" si="109"/>
        <v>138871</v>
      </c>
      <c r="K356" s="14">
        <f t="shared" si="109"/>
        <v>145260</v>
      </c>
      <c r="L356" s="14">
        <f t="shared" si="109"/>
        <v>179168</v>
      </c>
      <c r="M356" s="14">
        <f t="shared" si="109"/>
        <v>970959</v>
      </c>
      <c r="N356" s="14">
        <f t="shared" si="109"/>
        <v>1331772</v>
      </c>
      <c r="O356" s="14">
        <f t="shared" si="109"/>
        <v>1329478</v>
      </c>
      <c r="P356" s="14">
        <f t="shared" si="109"/>
        <v>1301231</v>
      </c>
      <c r="Q356" s="14">
        <f t="shared" si="109"/>
        <v>1559507</v>
      </c>
      <c r="R356" s="14">
        <f>R338</f>
        <v>1412330</v>
      </c>
      <c r="S356" s="14"/>
    </row>
    <row r="357" spans="1:19">
      <c r="A357" s="525"/>
      <c r="B357" s="14"/>
      <c r="C357" s="14" t="s">
        <v>1055</v>
      </c>
      <c r="D357" s="14"/>
      <c r="E357" s="14"/>
      <c r="F357" s="14"/>
      <c r="G357" s="14"/>
      <c r="H357" s="14"/>
      <c r="I357" s="14"/>
      <c r="J357" s="14"/>
      <c r="K357" s="14"/>
      <c r="L357" s="14"/>
      <c r="M357" s="14"/>
      <c r="N357" s="14"/>
      <c r="O357" s="14"/>
      <c r="P357" s="14"/>
      <c r="Q357" s="14"/>
      <c r="R357" s="14"/>
      <c r="S357" s="14"/>
    </row>
    <row r="358" spans="1:19">
      <c r="A358" s="525"/>
      <c r="B358" s="14"/>
      <c r="C358" s="14" t="s">
        <v>1056</v>
      </c>
      <c r="D358" s="14"/>
      <c r="E358" s="14"/>
      <c r="F358" s="14"/>
      <c r="G358" s="14"/>
      <c r="H358" s="14"/>
      <c r="I358" s="14"/>
      <c r="J358" s="14"/>
      <c r="K358" s="14"/>
      <c r="L358" s="14"/>
      <c r="M358" s="14">
        <v>818870</v>
      </c>
      <c r="R358" s="14"/>
      <c r="S358" s="14"/>
    </row>
    <row r="359" spans="1:19">
      <c r="A359" s="525"/>
      <c r="B359" s="14"/>
      <c r="C359" s="14" t="s">
        <v>1057</v>
      </c>
      <c r="D359" s="14"/>
      <c r="E359" s="14"/>
      <c r="F359" s="14"/>
      <c r="G359" s="14"/>
      <c r="H359" s="14"/>
      <c r="I359" s="14"/>
      <c r="J359" s="14"/>
      <c r="K359" s="14"/>
      <c r="L359" s="14"/>
      <c r="M359" s="680">
        <f t="shared" ref="M359:R359" si="110">M331</f>
        <v>0.28000000000000003</v>
      </c>
      <c r="N359" s="680">
        <f t="shared" si="110"/>
        <v>0.28000000000000003</v>
      </c>
      <c r="O359" s="680">
        <f t="shared" si="110"/>
        <v>0.28000000000000003</v>
      </c>
      <c r="P359" s="680">
        <f t="shared" si="110"/>
        <v>0.28000000000000003</v>
      </c>
      <c r="Q359" s="680">
        <f t="shared" si="110"/>
        <v>0.28000000000000003</v>
      </c>
      <c r="R359" s="680">
        <f t="shared" si="110"/>
        <v>0.28000000000000003</v>
      </c>
      <c r="S359" s="14"/>
    </row>
    <row r="360" spans="1:19">
      <c r="A360" s="525"/>
      <c r="B360" s="14"/>
      <c r="C360" s="14" t="s">
        <v>1050</v>
      </c>
      <c r="D360" s="14"/>
      <c r="E360" s="14"/>
      <c r="F360" s="14"/>
      <c r="G360" s="14"/>
      <c r="H360" s="14"/>
      <c r="I360" s="14"/>
      <c r="J360" s="14"/>
      <c r="K360" s="14"/>
      <c r="L360" s="14"/>
      <c r="M360" s="14">
        <f t="shared" ref="M360:R360" si="111">-M330</f>
        <v>817674.66</v>
      </c>
      <c r="N360" s="14">
        <f t="shared" si="111"/>
        <v>1179840.5999999999</v>
      </c>
      <c r="O360" s="14">
        <f t="shared" si="111"/>
        <v>1179840.5999999999</v>
      </c>
      <c r="P360" s="14">
        <f t="shared" si="111"/>
        <v>1179840.5999999999</v>
      </c>
      <c r="Q360" s="14">
        <f t="shared" si="111"/>
        <v>1441010.2000000002</v>
      </c>
      <c r="R360" s="14">
        <f t="shared" si="111"/>
        <v>1477318.6400000001</v>
      </c>
      <c r="S360" s="14"/>
    </row>
    <row r="361" spans="1:19">
      <c r="A361" s="525"/>
      <c r="B361" s="14"/>
      <c r="C361" s="14" t="s">
        <v>1058</v>
      </c>
      <c r="D361" s="14"/>
      <c r="E361" s="14"/>
      <c r="F361" s="14"/>
      <c r="G361" s="14"/>
      <c r="H361" s="14"/>
      <c r="I361" s="14"/>
      <c r="J361" s="14"/>
      <c r="K361" s="14"/>
      <c r="L361" s="14"/>
      <c r="M361" s="14">
        <f>M356-M358</f>
        <v>152089</v>
      </c>
      <c r="N361" s="14">
        <f>N356-N360</f>
        <v>151931.40000000014</v>
      </c>
      <c r="O361" s="14">
        <f>O356-O360</f>
        <v>149637.40000000014</v>
      </c>
      <c r="P361" s="14">
        <f>P356-P360</f>
        <v>121390.40000000014</v>
      </c>
      <c r="Q361" s="14">
        <f>Q356-Q360</f>
        <v>118496.79999999981</v>
      </c>
      <c r="R361" s="14">
        <f>R356-R360</f>
        <v>-64988.64000000013</v>
      </c>
      <c r="S361" s="14"/>
    </row>
    <row r="362" spans="1:19">
      <c r="A362" s="525"/>
      <c r="B362" s="14"/>
      <c r="C362" s="14" t="s">
        <v>1059</v>
      </c>
      <c r="D362" s="14"/>
      <c r="E362" s="14"/>
      <c r="F362" s="14"/>
      <c r="G362" s="14"/>
      <c r="H362" s="14"/>
      <c r="I362" s="14"/>
      <c r="J362" s="14"/>
      <c r="K362" s="14"/>
      <c r="L362" s="14"/>
      <c r="M362" s="654">
        <f>M361-L356</f>
        <v>-27079</v>
      </c>
      <c r="N362" s="654">
        <f>N361-M361</f>
        <v>-157.5999999998603</v>
      </c>
      <c r="O362" s="654">
        <f>O361-N361</f>
        <v>-2294</v>
      </c>
      <c r="P362" s="654">
        <f>P361-O361</f>
        <v>-28247</v>
      </c>
      <c r="Q362" s="654">
        <f>Q361-P361</f>
        <v>-2893.600000000326</v>
      </c>
      <c r="R362" s="654">
        <f>R361-Q361</f>
        <v>-183485.43999999994</v>
      </c>
      <c r="S362" s="14"/>
    </row>
    <row r="363" spans="1:19">
      <c r="A363" s="525"/>
      <c r="B363" s="14"/>
      <c r="C363" s="14" t="s">
        <v>677</v>
      </c>
      <c r="D363" s="14"/>
      <c r="E363" s="14"/>
      <c r="F363" s="14"/>
      <c r="G363" s="14"/>
      <c r="H363" s="14"/>
      <c r="I363" s="14"/>
      <c r="J363" s="14"/>
      <c r="K363" s="14"/>
      <c r="L363" s="14"/>
      <c r="M363" s="14">
        <v>1800000</v>
      </c>
      <c r="N363" s="14"/>
      <c r="O363" s="14"/>
      <c r="P363" s="14"/>
      <c r="Q363" s="14"/>
      <c r="R363" s="14"/>
      <c r="S363" s="14"/>
    </row>
    <row r="364" spans="1:19">
      <c r="A364" s="525"/>
      <c r="B364" s="14"/>
      <c r="C364" s="14"/>
      <c r="D364" s="14"/>
      <c r="E364" s="14"/>
      <c r="F364" s="14"/>
      <c r="G364" s="14"/>
      <c r="H364" s="14"/>
      <c r="I364" s="14"/>
      <c r="J364" s="14"/>
      <c r="K364" s="14"/>
      <c r="L364" s="14"/>
      <c r="M364" s="24">
        <f>M358/(M363+M358)</f>
        <v>0.31268065997930405</v>
      </c>
      <c r="N364" s="681" t="s">
        <v>1060</v>
      </c>
      <c r="O364" s="14"/>
      <c r="P364" s="14"/>
      <c r="Q364" s="14" t="s">
        <v>1061</v>
      </c>
      <c r="R364" s="14"/>
      <c r="S364" s="14"/>
    </row>
    <row r="365" spans="1:19">
      <c r="A365" s="525"/>
      <c r="B365" s="14"/>
      <c r="C365" s="14"/>
      <c r="D365" s="14"/>
      <c r="E365" s="14"/>
      <c r="F365" s="14"/>
      <c r="G365" s="14"/>
      <c r="H365" s="14"/>
      <c r="I365" s="14"/>
      <c r="J365" s="14"/>
      <c r="K365" s="14"/>
      <c r="L365" s="14"/>
      <c r="M365" s="14"/>
      <c r="N365" s="17">
        <f>N340/N332</f>
        <v>2.8968658986646162E-2</v>
      </c>
      <c r="O365" s="14"/>
      <c r="P365" s="14"/>
      <c r="Q365" s="17">
        <f>Q340/Q332</f>
        <v>2.0066200780535767E-2</v>
      </c>
      <c r="R365" s="14"/>
      <c r="S365" s="14"/>
    </row>
    <row r="366" spans="1:19">
      <c r="A366" s="525"/>
      <c r="B366" s="14"/>
      <c r="C366" s="14"/>
      <c r="D366" s="14"/>
      <c r="E366" s="14"/>
      <c r="F366" s="14"/>
      <c r="G366" s="14"/>
      <c r="H366" s="14"/>
      <c r="I366" s="14"/>
      <c r="J366" s="14"/>
      <c r="K366" s="14"/>
      <c r="L366" s="14"/>
      <c r="M366" s="14"/>
      <c r="N366" s="14">
        <f>-N340</f>
        <v>113928</v>
      </c>
      <c r="O366" s="14"/>
      <c r="P366" s="14"/>
      <c r="Q366" s="14">
        <f>-Q340</f>
        <v>103270</v>
      </c>
      <c r="R366" s="14"/>
      <c r="S366" s="14"/>
    </row>
    <row r="367" spans="1:19">
      <c r="A367" s="525"/>
      <c r="B367" s="14"/>
      <c r="C367" s="14" t="s">
        <v>1057</v>
      </c>
      <c r="D367" s="14"/>
      <c r="E367" s="14"/>
      <c r="F367" s="14"/>
      <c r="G367" s="14"/>
      <c r="H367" s="14"/>
      <c r="I367" s="14"/>
      <c r="J367" s="14"/>
      <c r="K367" s="14"/>
      <c r="L367" s="14"/>
      <c r="M367" s="24">
        <f t="shared" ref="M367:R367" si="112">M331</f>
        <v>0.28000000000000003</v>
      </c>
      <c r="N367" s="24">
        <f t="shared" si="112"/>
        <v>0.28000000000000003</v>
      </c>
      <c r="O367" s="24">
        <f t="shared" si="112"/>
        <v>0.28000000000000003</v>
      </c>
      <c r="P367" s="24">
        <f t="shared" si="112"/>
        <v>0.28000000000000003</v>
      </c>
      <c r="Q367" s="24">
        <f t="shared" si="112"/>
        <v>0.28000000000000003</v>
      </c>
      <c r="R367" s="24">
        <f t="shared" si="112"/>
        <v>0.28000000000000003</v>
      </c>
      <c r="S367" s="14"/>
    </row>
    <row r="368" spans="1:19">
      <c r="A368" s="525"/>
      <c r="B368" s="14"/>
      <c r="C368" s="14" t="s">
        <v>1050</v>
      </c>
      <c r="D368" s="14"/>
      <c r="E368" s="14"/>
      <c r="F368" s="14"/>
      <c r="G368" s="14"/>
      <c r="H368" s="14"/>
      <c r="I368" s="14"/>
      <c r="J368" s="14"/>
      <c r="K368" s="14"/>
      <c r="L368" s="14"/>
      <c r="M368" s="654">
        <f t="shared" ref="M368:R368" si="113">-M334</f>
        <v>693784.56</v>
      </c>
      <c r="N368" s="654">
        <f t="shared" si="113"/>
        <v>1101184.56</v>
      </c>
      <c r="O368" s="654">
        <f t="shared" si="113"/>
        <v>1101184.56</v>
      </c>
      <c r="P368" s="654">
        <f t="shared" si="113"/>
        <v>1101184.56</v>
      </c>
      <c r="Q368" s="654">
        <f t="shared" si="113"/>
        <v>1441010.2000000002</v>
      </c>
      <c r="R368" s="654">
        <f t="shared" si="113"/>
        <v>1477318.6400000001</v>
      </c>
      <c r="S368" s="14"/>
    </row>
    <row r="369" spans="1:19">
      <c r="A369" s="525"/>
      <c r="B369" s="14"/>
      <c r="C369" s="18"/>
      <c r="D369" s="18"/>
      <c r="E369" s="18"/>
      <c r="F369" s="18"/>
      <c r="G369" s="18"/>
      <c r="H369" s="18"/>
      <c r="I369" s="18"/>
      <c r="J369" s="18"/>
      <c r="K369" s="18"/>
      <c r="L369" s="18"/>
      <c r="M369" s="18">
        <f t="shared" ref="M369:R369" si="114">M368-M360</f>
        <v>-123890.09999999998</v>
      </c>
      <c r="N369" s="18">
        <f t="shared" si="114"/>
        <v>-78656.039999999804</v>
      </c>
      <c r="O369" s="18">
        <f t="shared" si="114"/>
        <v>-78656.039999999804</v>
      </c>
      <c r="P369" s="18">
        <f t="shared" si="114"/>
        <v>-78656.039999999804</v>
      </c>
      <c r="Q369" s="18">
        <f t="shared" si="114"/>
        <v>0</v>
      </c>
      <c r="R369" s="18">
        <f t="shared" si="114"/>
        <v>0</v>
      </c>
      <c r="S369" s="14"/>
    </row>
    <row r="370" spans="1:19">
      <c r="A370" s="525"/>
      <c r="B370" s="682"/>
      <c r="C370" s="617" t="s">
        <v>1054</v>
      </c>
      <c r="D370" s="14"/>
      <c r="E370" s="14"/>
      <c r="F370" s="14">
        <f>F250</f>
        <v>5014</v>
      </c>
      <c r="G370" s="14">
        <f t="shared" ref="G370:R370" si="115">G250</f>
        <v>28728</v>
      </c>
      <c r="H370" s="14">
        <f t="shared" si="115"/>
        <v>66401</v>
      </c>
      <c r="I370" s="14">
        <f t="shared" si="115"/>
        <v>92031</v>
      </c>
      <c r="J370" s="14">
        <f t="shared" si="115"/>
        <v>138871</v>
      </c>
      <c r="K370" s="14">
        <f t="shared" si="115"/>
        <v>145260</v>
      </c>
      <c r="L370" s="14">
        <f t="shared" si="115"/>
        <v>179168</v>
      </c>
      <c r="M370" s="14">
        <f t="shared" si="115"/>
        <v>970959</v>
      </c>
      <c r="N370" s="14">
        <f t="shared" si="115"/>
        <v>1331772</v>
      </c>
      <c r="O370" s="14">
        <f t="shared" si="115"/>
        <v>1329478</v>
      </c>
      <c r="P370" s="14">
        <f t="shared" si="115"/>
        <v>1301231</v>
      </c>
      <c r="Q370" s="14">
        <f t="shared" si="115"/>
        <v>1559507</v>
      </c>
      <c r="R370" s="14">
        <f t="shared" si="115"/>
        <v>1412330</v>
      </c>
      <c r="S370" s="14"/>
    </row>
    <row r="371" spans="1:19">
      <c r="A371" s="525"/>
      <c r="B371" s="14"/>
      <c r="C371" s="14" t="s">
        <v>1062</v>
      </c>
      <c r="D371" s="14"/>
      <c r="E371" s="14"/>
      <c r="F371" s="14"/>
      <c r="G371" s="14"/>
      <c r="H371" s="14"/>
      <c r="I371" s="14"/>
      <c r="J371" s="14"/>
      <c r="K371" s="14"/>
      <c r="L371" s="14"/>
      <c r="M371" s="14"/>
      <c r="N371" s="14">
        <f>-N270</f>
        <v>113928</v>
      </c>
      <c r="O371" s="14">
        <f>N371</f>
        <v>113928</v>
      </c>
      <c r="P371" s="14">
        <f>O371</f>
        <v>113928</v>
      </c>
      <c r="Q371" s="14">
        <f>P371</f>
        <v>113928</v>
      </c>
      <c r="R371" s="14">
        <f>Q371</f>
        <v>113928</v>
      </c>
      <c r="S371" s="14"/>
    </row>
    <row r="372" spans="1:19">
      <c r="A372" s="525"/>
      <c r="B372" s="14"/>
      <c r="C372" s="14" t="s">
        <v>1063</v>
      </c>
      <c r="D372" s="14"/>
      <c r="E372" s="14"/>
      <c r="F372" s="14"/>
      <c r="G372" s="14"/>
      <c r="H372" s="14"/>
      <c r="I372" s="14"/>
      <c r="J372" s="14"/>
      <c r="K372" s="14"/>
      <c r="L372" s="14"/>
      <c r="M372" s="14"/>
      <c r="N372" s="14"/>
      <c r="O372" s="14"/>
      <c r="P372" s="14"/>
      <c r="Q372" s="14">
        <f>-Q270</f>
        <v>103270</v>
      </c>
      <c r="R372" s="14">
        <f>Q372</f>
        <v>103270</v>
      </c>
      <c r="S372" s="14"/>
    </row>
    <row r="373" spans="1:19">
      <c r="A373" s="525"/>
      <c r="B373" s="14"/>
      <c r="C373" s="14" t="s">
        <v>1064</v>
      </c>
      <c r="D373" s="14"/>
      <c r="E373" s="14"/>
      <c r="F373" s="14"/>
      <c r="G373" s="14"/>
      <c r="H373" s="14"/>
      <c r="I373" s="14"/>
      <c r="J373" s="14"/>
      <c r="K373" s="14"/>
      <c r="L373" s="14"/>
      <c r="M373" s="14"/>
      <c r="N373" s="14"/>
      <c r="O373" s="14"/>
      <c r="P373" s="14"/>
      <c r="Q373" s="14"/>
      <c r="R373" s="14">
        <f>-R270</f>
        <v>2610</v>
      </c>
      <c r="S373" s="14"/>
    </row>
    <row r="374" spans="1:19">
      <c r="A374" s="525"/>
      <c r="B374" s="14"/>
      <c r="D374" s="14"/>
      <c r="E374" s="14"/>
      <c r="F374" s="14"/>
      <c r="G374" s="14"/>
      <c r="H374" s="14"/>
      <c r="I374" s="14"/>
      <c r="J374" s="14"/>
      <c r="K374" s="14"/>
      <c r="L374" s="14"/>
      <c r="M374" s="14"/>
      <c r="N374" s="14"/>
      <c r="O374" s="14"/>
      <c r="P374" s="14"/>
      <c r="Q374" s="14"/>
      <c r="R374" s="14"/>
      <c r="S374" s="14"/>
    </row>
    <row r="375" spans="1:19">
      <c r="A375" s="525"/>
      <c r="B375" s="14"/>
      <c r="C375" s="14" t="s">
        <v>1065</v>
      </c>
      <c r="D375" s="14"/>
      <c r="E375" s="14"/>
      <c r="F375" s="14">
        <f>SUM(F370:F372)</f>
        <v>5014</v>
      </c>
      <c r="G375" s="14">
        <f t="shared" ref="G375:L375" si="116">SUM(G370:G372)</f>
        <v>28728</v>
      </c>
      <c r="H375" s="14">
        <f t="shared" si="116"/>
        <v>66401</v>
      </c>
      <c r="I375" s="14">
        <f t="shared" si="116"/>
        <v>92031</v>
      </c>
      <c r="J375" s="14">
        <f t="shared" si="116"/>
        <v>138871</v>
      </c>
      <c r="K375" s="14">
        <f t="shared" si="116"/>
        <v>145260</v>
      </c>
      <c r="L375" s="14">
        <f t="shared" si="116"/>
        <v>179168</v>
      </c>
      <c r="M375" s="654">
        <f t="shared" ref="M375:R375" si="117">SUM(M370:M374)</f>
        <v>970959</v>
      </c>
      <c r="N375" s="654">
        <f t="shared" si="117"/>
        <v>1445700</v>
      </c>
      <c r="O375" s="654">
        <f t="shared" si="117"/>
        <v>1443406</v>
      </c>
      <c r="P375" s="654">
        <f t="shared" si="117"/>
        <v>1415159</v>
      </c>
      <c r="Q375" s="654">
        <f t="shared" si="117"/>
        <v>1776705</v>
      </c>
      <c r="R375" s="654">
        <f t="shared" si="117"/>
        <v>1632138</v>
      </c>
      <c r="S375" s="14"/>
    </row>
    <row r="376" spans="1:19">
      <c r="A376" s="525"/>
      <c r="B376" s="14"/>
      <c r="C376" s="14" t="s">
        <v>1066</v>
      </c>
      <c r="D376" s="14"/>
      <c r="E376" s="14"/>
      <c r="M376" s="654">
        <f t="shared" ref="M376:R376" si="118">-M334</f>
        <v>693784.56</v>
      </c>
      <c r="N376" s="654">
        <f t="shared" si="118"/>
        <v>1101184.56</v>
      </c>
      <c r="O376" s="654">
        <f t="shared" si="118"/>
        <v>1101184.56</v>
      </c>
      <c r="P376" s="654">
        <f t="shared" si="118"/>
        <v>1101184.56</v>
      </c>
      <c r="Q376" s="654">
        <f t="shared" si="118"/>
        <v>1441010.2000000002</v>
      </c>
      <c r="R376" s="654">
        <f t="shared" si="118"/>
        <v>1477318.6400000001</v>
      </c>
      <c r="S376" s="14"/>
    </row>
    <row r="377" spans="1:19">
      <c r="A377" s="525"/>
      <c r="B377" s="14"/>
      <c r="C377" s="14" t="s">
        <v>1067</v>
      </c>
      <c r="D377" s="14"/>
      <c r="E377" s="14"/>
      <c r="F377" s="14">
        <f t="shared" ref="F377:L377" si="119">F375</f>
        <v>5014</v>
      </c>
      <c r="G377" s="14">
        <f t="shared" si="119"/>
        <v>28728</v>
      </c>
      <c r="H377" s="14">
        <f t="shared" si="119"/>
        <v>66401</v>
      </c>
      <c r="I377" s="123">
        <f t="shared" si="119"/>
        <v>92031</v>
      </c>
      <c r="J377" s="14">
        <f t="shared" si="119"/>
        <v>138871</v>
      </c>
      <c r="K377" s="14">
        <f t="shared" si="119"/>
        <v>145260</v>
      </c>
      <c r="L377" s="14">
        <f t="shared" si="119"/>
        <v>179168</v>
      </c>
      <c r="M377" s="14">
        <f t="shared" ref="M377:R377" si="120">M375-M376</f>
        <v>277174.43999999994</v>
      </c>
      <c r="N377" s="14">
        <f t="shared" si="120"/>
        <v>344515.43999999994</v>
      </c>
      <c r="O377" s="14">
        <f t="shared" si="120"/>
        <v>342221.43999999994</v>
      </c>
      <c r="P377" s="14">
        <f t="shared" si="120"/>
        <v>313974.43999999994</v>
      </c>
      <c r="Q377" s="14">
        <f t="shared" si="120"/>
        <v>335694.79999999981</v>
      </c>
      <c r="R377" s="14">
        <f t="shared" si="120"/>
        <v>154819.35999999987</v>
      </c>
      <c r="S377" s="14"/>
    </row>
    <row r="378" spans="1:19">
      <c r="A378" s="543"/>
      <c r="B378" s="18"/>
      <c r="C378" s="18" t="s">
        <v>1068</v>
      </c>
      <c r="D378" s="18"/>
      <c r="E378" s="18"/>
      <c r="F378" s="18"/>
      <c r="G378" s="679">
        <f t="shared" ref="G378:R378" si="121">G377-F377</f>
        <v>23714</v>
      </c>
      <c r="H378" s="679">
        <f t="shared" si="121"/>
        <v>37673</v>
      </c>
      <c r="I378" s="679">
        <f t="shared" si="121"/>
        <v>25630</v>
      </c>
      <c r="J378" s="679">
        <f t="shared" si="121"/>
        <v>46840</v>
      </c>
      <c r="K378" s="679">
        <f t="shared" si="121"/>
        <v>6389</v>
      </c>
      <c r="L378" s="679">
        <f t="shared" si="121"/>
        <v>33908</v>
      </c>
      <c r="M378" s="679">
        <f t="shared" si="121"/>
        <v>98006.439999999944</v>
      </c>
      <c r="N378" s="679">
        <f t="shared" si="121"/>
        <v>67341</v>
      </c>
      <c r="O378" s="679">
        <f t="shared" si="121"/>
        <v>-2294</v>
      </c>
      <c r="P378" s="679">
        <f t="shared" si="121"/>
        <v>-28247</v>
      </c>
      <c r="Q378" s="679">
        <f t="shared" si="121"/>
        <v>21720.35999999987</v>
      </c>
      <c r="R378" s="679">
        <f t="shared" si="121"/>
        <v>-180875.43999999994</v>
      </c>
      <c r="S378" s="14"/>
    </row>
    <row r="379" spans="1:19">
      <c r="A379" s="523"/>
    </row>
    <row r="380" spans="1:19">
      <c r="A380" s="523"/>
    </row>
    <row r="381" spans="1:19">
      <c r="A381" s="523"/>
    </row>
    <row r="382" spans="1:19">
      <c r="A382" s="523"/>
    </row>
    <row r="383" spans="1:19">
      <c r="A383" s="523"/>
    </row>
    <row r="384" spans="1:19">
      <c r="A384" s="523"/>
    </row>
    <row r="385" spans="1:1">
      <c r="A385" s="523"/>
    </row>
    <row r="386" spans="1:1">
      <c r="A386" s="523"/>
    </row>
    <row r="387" spans="1:1">
      <c r="A387" s="523"/>
    </row>
    <row r="388" spans="1:1">
      <c r="A388" s="523"/>
    </row>
    <row r="389" spans="1:1">
      <c r="A389" s="523"/>
    </row>
    <row r="390" spans="1:1">
      <c r="A390" s="523"/>
    </row>
    <row r="391" spans="1:1">
      <c r="A391" s="523"/>
    </row>
    <row r="392" spans="1:1">
      <c r="A392" s="523"/>
    </row>
    <row r="393" spans="1:1">
      <c r="A393" s="523"/>
    </row>
    <row r="394" spans="1:1">
      <c r="A394" s="523"/>
    </row>
    <row r="395" spans="1:1">
      <c r="A395" s="523"/>
    </row>
    <row r="396" spans="1:1">
      <c r="A396" s="523"/>
    </row>
    <row r="397" spans="1:1">
      <c r="A397" s="523"/>
    </row>
    <row r="398" spans="1:1">
      <c r="A398" s="523"/>
    </row>
    <row r="399" spans="1:1">
      <c r="A399" s="523"/>
    </row>
    <row r="400" spans="1:1">
      <c r="A400" s="523"/>
    </row>
    <row r="401" spans="1:1">
      <c r="A401" s="523"/>
    </row>
    <row r="402" spans="1:1">
      <c r="A402" s="523"/>
    </row>
    <row r="403" spans="1:1">
      <c r="A403" s="523"/>
    </row>
    <row r="404" spans="1:1">
      <c r="A404" s="523"/>
    </row>
    <row r="405" spans="1:1">
      <c r="A405" s="523"/>
    </row>
    <row r="406" spans="1:1">
      <c r="A406" s="523"/>
    </row>
  </sheetData>
  <printOptions horizontalCentered="1" headings="1" gridLines="1"/>
  <pageMargins left="0.31496062992125984" right="0.31496062992125984" top="0.74803149606299213" bottom="0.74803149606299213" header="0.31496062992125984" footer="0.31496062992125984"/>
  <pageSetup paperSize="9" scale="88" fitToHeight="0" orientation="landscape" horizontalDpi="0" verticalDpi="0" r:id="rId1"/>
  <rowBreaks count="4" manualBreakCount="4">
    <brk id="156" max="18" man="1"/>
    <brk id="228" max="18" man="1"/>
    <brk id="279" min="1" max="17" man="1"/>
    <brk id="322" min="1"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CC662"/>
  <sheetViews>
    <sheetView workbookViewId="0"/>
  </sheetViews>
  <sheetFormatPr defaultRowHeight="12.75"/>
  <cols>
    <col min="1" max="1" width="3.85546875" customWidth="1"/>
    <col min="2" max="2" width="5.85546875" customWidth="1"/>
    <col min="3" max="3" width="23.28515625" customWidth="1"/>
    <col min="4" max="4" width="3" customWidth="1"/>
    <col min="5" max="5" width="4.28515625" customWidth="1"/>
    <col min="6" max="27" width="10.5703125" customWidth="1"/>
    <col min="28" max="28" width="8.85546875" customWidth="1"/>
    <col min="29" max="29" width="10.5703125" customWidth="1"/>
  </cols>
  <sheetData>
    <row r="1" spans="1:81" ht="96" customHeight="1" thickBot="1">
      <c r="A1" s="903" t="s">
        <v>193</v>
      </c>
      <c r="B1" s="904"/>
      <c r="C1" s="904"/>
      <c r="D1" s="904"/>
      <c r="E1" s="905"/>
      <c r="F1" s="858" t="e">
        <f>#REF!</f>
        <v>#REF!</v>
      </c>
      <c r="G1" s="1644">
        <f ca="1">NOW()</f>
        <v>44595.448909606479</v>
      </c>
      <c r="H1" s="1644"/>
      <c r="I1" s="1645">
        <f ca="1">NOW()</f>
        <v>44595.448909606479</v>
      </c>
      <c r="J1" s="1645"/>
      <c r="K1" s="1645"/>
      <c r="L1" s="705"/>
      <c r="M1" s="25"/>
      <c r="N1" s="78"/>
      <c r="O1" s="78"/>
      <c r="Y1" s="78"/>
      <c r="Z1" s="78"/>
      <c r="AA1" s="78" t="e">
        <f>#REF!</f>
        <v>#REF!</v>
      </c>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c r="BQ1" s="547"/>
      <c r="BR1" s="547"/>
      <c r="BS1" s="547"/>
      <c r="BT1" s="547"/>
      <c r="BU1" s="547"/>
      <c r="BV1" s="547"/>
      <c r="BW1" s="547"/>
      <c r="BX1" s="547"/>
      <c r="BY1" s="547"/>
      <c r="BZ1" s="547"/>
      <c r="CA1" s="547"/>
      <c r="CB1" s="547"/>
      <c r="CC1" s="547"/>
    </row>
    <row r="2" spans="1:81" ht="60" customHeight="1">
      <c r="A2" s="622" t="s">
        <v>1069</v>
      </c>
      <c r="B2" s="232"/>
      <c r="C2" s="610"/>
      <c r="D2" s="610"/>
      <c r="E2" s="624"/>
      <c r="F2" s="34">
        <v>0</v>
      </c>
      <c r="G2" s="34">
        <f t="shared" ref="G2:W3" si="0">F2+1</f>
        <v>1</v>
      </c>
      <c r="H2" s="34">
        <f t="shared" si="0"/>
        <v>2</v>
      </c>
      <c r="I2" s="34">
        <f t="shared" si="0"/>
        <v>3</v>
      </c>
      <c r="J2" s="34">
        <f t="shared" si="0"/>
        <v>4</v>
      </c>
      <c r="K2" s="34">
        <f t="shared" si="0"/>
        <v>5</v>
      </c>
      <c r="L2" s="34">
        <f t="shared" si="0"/>
        <v>6</v>
      </c>
      <c r="M2" s="34">
        <f t="shared" si="0"/>
        <v>7</v>
      </c>
      <c r="N2" s="34">
        <f t="shared" si="0"/>
        <v>8</v>
      </c>
      <c r="O2" s="34">
        <f t="shared" si="0"/>
        <v>9</v>
      </c>
      <c r="P2" s="34">
        <f t="shared" si="0"/>
        <v>10</v>
      </c>
      <c r="Q2" s="34">
        <f t="shared" si="0"/>
        <v>11</v>
      </c>
      <c r="R2" s="34">
        <f t="shared" si="0"/>
        <v>12</v>
      </c>
      <c r="S2" s="34">
        <f t="shared" si="0"/>
        <v>13</v>
      </c>
      <c r="T2" s="34">
        <f t="shared" si="0"/>
        <v>14</v>
      </c>
      <c r="U2" s="34">
        <f t="shared" si="0"/>
        <v>15</v>
      </c>
      <c r="V2" s="34">
        <f t="shared" si="0"/>
        <v>16</v>
      </c>
      <c r="W2" s="34">
        <f t="shared" si="0"/>
        <v>17</v>
      </c>
      <c r="X2" s="34">
        <f t="shared" ref="X2:AA3" si="1">W2+1</f>
        <v>18</v>
      </c>
      <c r="Y2" s="34">
        <f t="shared" si="1"/>
        <v>19</v>
      </c>
      <c r="Z2" s="34">
        <f t="shared" si="1"/>
        <v>20</v>
      </c>
      <c r="AA2" s="34">
        <f t="shared" si="1"/>
        <v>21</v>
      </c>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row>
    <row r="3" spans="1:81">
      <c r="A3" s="46" t="s">
        <v>319</v>
      </c>
      <c r="B3" s="3" t="s">
        <v>320</v>
      </c>
      <c r="E3" s="3" t="s">
        <v>44</v>
      </c>
      <c r="F3" s="620">
        <v>1999</v>
      </c>
      <c r="G3" s="620">
        <f>F3+1</f>
        <v>2000</v>
      </c>
      <c r="H3" s="620">
        <f t="shared" si="0"/>
        <v>2001</v>
      </c>
      <c r="I3" s="620">
        <f t="shared" si="0"/>
        <v>2002</v>
      </c>
      <c r="J3" s="620">
        <f t="shared" si="0"/>
        <v>2003</v>
      </c>
      <c r="K3" s="620">
        <f t="shared" si="0"/>
        <v>2004</v>
      </c>
      <c r="L3" s="620">
        <f t="shared" si="0"/>
        <v>2005</v>
      </c>
      <c r="M3" s="620">
        <f t="shared" si="0"/>
        <v>2006</v>
      </c>
      <c r="N3" s="620">
        <f t="shared" si="0"/>
        <v>2007</v>
      </c>
      <c r="O3" s="620">
        <f t="shared" si="0"/>
        <v>2008</v>
      </c>
      <c r="P3" s="620">
        <f t="shared" si="0"/>
        <v>2009</v>
      </c>
      <c r="Q3" s="620">
        <f t="shared" si="0"/>
        <v>2010</v>
      </c>
      <c r="R3" s="620">
        <f t="shared" si="0"/>
        <v>2011</v>
      </c>
      <c r="S3" s="620">
        <f t="shared" ref="S3" si="2">R3+1</f>
        <v>2012</v>
      </c>
      <c r="T3" s="620">
        <f t="shared" ref="T3" si="3">S3+1</f>
        <v>2013</v>
      </c>
      <c r="U3" s="620">
        <f t="shared" ref="U3" si="4">T3+1</f>
        <v>2014</v>
      </c>
      <c r="V3" s="620">
        <f t="shared" ref="V3" si="5">U3+1</f>
        <v>2015</v>
      </c>
      <c r="W3" s="620">
        <f t="shared" ref="W3" si="6">V3+1</f>
        <v>2016</v>
      </c>
      <c r="X3" s="620">
        <f t="shared" si="1"/>
        <v>2017</v>
      </c>
      <c r="Y3" s="620">
        <f t="shared" si="1"/>
        <v>2018</v>
      </c>
      <c r="Z3" s="620">
        <f t="shared" si="1"/>
        <v>2019</v>
      </c>
      <c r="AA3" s="620">
        <f t="shared" si="1"/>
        <v>2020</v>
      </c>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row>
    <row r="4" spans="1:81">
      <c r="A4" s="34">
        <v>1000</v>
      </c>
      <c r="C4" t="s">
        <v>133</v>
      </c>
      <c r="F4" s="583">
        <v>93759</v>
      </c>
      <c r="G4" s="583">
        <v>33562</v>
      </c>
      <c r="H4" s="583">
        <v>52829</v>
      </c>
      <c r="I4" s="583">
        <v>9962</v>
      </c>
      <c r="J4" s="583">
        <v>55337</v>
      </c>
      <c r="K4" s="583">
        <v>104262</v>
      </c>
      <c r="L4" s="583">
        <v>40827</v>
      </c>
      <c r="M4" s="583"/>
      <c r="N4" s="583"/>
      <c r="O4" s="583">
        <v>71742</v>
      </c>
      <c r="P4" s="583">
        <v>47877</v>
      </c>
      <c r="Q4" s="583">
        <v>54394</v>
      </c>
      <c r="R4" s="583">
        <v>368191</v>
      </c>
      <c r="S4" s="583">
        <v>214420</v>
      </c>
      <c r="T4" s="588" t="e">
        <f>'4_Fin-Stat'!#REF!</f>
        <v>#REF!</v>
      </c>
      <c r="U4" s="588" t="e">
        <f>'4_Fin-Stat'!#REF!</f>
        <v>#REF!</v>
      </c>
      <c r="V4" s="588" t="e">
        <f>'4_Fin-Stat'!#REF!</f>
        <v>#REF!</v>
      </c>
      <c r="W4" s="588" t="e">
        <f>'4_Fin-Stat'!#REF!</f>
        <v>#REF!</v>
      </c>
      <c r="X4" s="588" t="e">
        <f>'4_Fin-Stat'!#REF!</f>
        <v>#REF!</v>
      </c>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row>
    <row r="5" spans="1:81">
      <c r="A5" s="34">
        <v>1100</v>
      </c>
      <c r="C5" t="s">
        <v>135</v>
      </c>
      <c r="F5" s="583">
        <v>82784</v>
      </c>
      <c r="G5" s="583">
        <v>95020</v>
      </c>
      <c r="H5" s="583">
        <v>182656</v>
      </c>
      <c r="I5" s="583">
        <v>153665</v>
      </c>
      <c r="J5" s="583">
        <v>209728</v>
      </c>
      <c r="K5" s="583">
        <v>212902</v>
      </c>
      <c r="L5" s="583">
        <v>289735</v>
      </c>
      <c r="M5" s="583">
        <v>234422</v>
      </c>
      <c r="N5" s="583"/>
      <c r="O5" s="583">
        <v>471134</v>
      </c>
      <c r="P5" s="583">
        <v>188156</v>
      </c>
      <c r="Q5" s="583">
        <v>199114</v>
      </c>
      <c r="R5" s="583">
        <v>240885</v>
      </c>
      <c r="S5" s="583">
        <v>298076</v>
      </c>
      <c r="T5" s="588" t="e">
        <f>'4_Fin-Stat'!#REF!</f>
        <v>#REF!</v>
      </c>
      <c r="U5" s="588" t="e">
        <f>'4_Fin-Stat'!#REF!</f>
        <v>#REF!</v>
      </c>
      <c r="V5" s="588" t="e">
        <f>'4_Fin-Stat'!#REF!</f>
        <v>#REF!</v>
      </c>
      <c r="W5" s="588" t="e">
        <f>'4_Fin-Stat'!#REF!</f>
        <v>#REF!</v>
      </c>
      <c r="X5" s="588" t="e">
        <f>'4_Fin-Stat'!#REF!</f>
        <v>#REF!</v>
      </c>
      <c r="AD5" s="9"/>
      <c r="AE5" s="9"/>
      <c r="AF5" s="9"/>
      <c r="AG5" s="9"/>
      <c r="AH5" s="9"/>
      <c r="AI5" s="9"/>
      <c r="AJ5" s="9"/>
      <c r="AK5" s="9"/>
      <c r="AL5" s="9"/>
      <c r="AM5" s="9"/>
      <c r="AN5" s="9"/>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row>
    <row r="6" spans="1:81">
      <c r="A6" s="34">
        <v>1200</v>
      </c>
      <c r="C6" t="s">
        <v>671</v>
      </c>
      <c r="F6" s="583">
        <v>2720</v>
      </c>
      <c r="G6" s="583">
        <v>2509</v>
      </c>
      <c r="H6" s="583">
        <v>2744</v>
      </c>
      <c r="I6" s="583">
        <v>2908</v>
      </c>
      <c r="J6" s="583">
        <v>2884</v>
      </c>
      <c r="K6" s="583">
        <v>3140</v>
      </c>
      <c r="L6" s="583">
        <v>3378</v>
      </c>
      <c r="M6" s="583"/>
      <c r="N6" s="583"/>
      <c r="O6" s="583">
        <v>8251</v>
      </c>
      <c r="P6" s="583">
        <v>7299</v>
      </c>
      <c r="Q6" s="583">
        <v>6029</v>
      </c>
      <c r="R6" s="583">
        <v>3333</v>
      </c>
      <c r="S6" s="583">
        <v>4649</v>
      </c>
      <c r="T6" s="588" t="e">
        <f>'4_Fin-Stat'!#REF!</f>
        <v>#REF!</v>
      </c>
      <c r="U6" s="588" t="e">
        <f>'4_Fin-Stat'!#REF!</f>
        <v>#REF!</v>
      </c>
      <c r="V6" s="588" t="e">
        <f>'4_Fin-Stat'!#REF!</f>
        <v>#REF!</v>
      </c>
      <c r="W6" s="588" t="e">
        <f>'4_Fin-Stat'!#REF!</f>
        <v>#REF!</v>
      </c>
      <c r="X6" s="588" t="e">
        <f>'4_Fin-Stat'!#REF!</f>
        <v>#REF!</v>
      </c>
      <c r="AD6" s="9"/>
      <c r="AE6" s="9"/>
      <c r="AF6" s="9"/>
      <c r="AG6" s="9"/>
      <c r="AH6" s="9"/>
      <c r="AI6" s="9"/>
      <c r="AJ6" s="9"/>
      <c r="AK6" s="9"/>
      <c r="AL6" s="9"/>
      <c r="AM6" s="9"/>
      <c r="AN6" s="9"/>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row>
    <row r="7" spans="1:81">
      <c r="A7" s="34"/>
      <c r="C7" t="s">
        <v>144</v>
      </c>
      <c r="F7" s="583"/>
      <c r="G7" s="583"/>
      <c r="H7" s="583"/>
      <c r="I7" s="583"/>
      <c r="J7" s="583"/>
      <c r="K7" s="583"/>
      <c r="L7" s="583"/>
      <c r="M7" s="583"/>
      <c r="N7" s="583"/>
      <c r="O7" s="583"/>
      <c r="P7" s="583"/>
      <c r="Q7" s="583">
        <v>683</v>
      </c>
      <c r="R7" s="583">
        <v>632</v>
      </c>
      <c r="S7" s="583">
        <v>632</v>
      </c>
      <c r="T7" s="588" t="e">
        <f>'4_Fin-Stat'!#REF!</f>
        <v>#REF!</v>
      </c>
      <c r="U7" s="588" t="e">
        <f>'4_Fin-Stat'!#REF!</f>
        <v>#REF!</v>
      </c>
      <c r="V7" s="588" t="e">
        <f>'4_Fin-Stat'!#REF!</f>
        <v>#REF!</v>
      </c>
      <c r="W7" s="588" t="e">
        <f>'4_Fin-Stat'!#REF!</f>
        <v>#REF!</v>
      </c>
      <c r="X7" s="588" t="e">
        <f>'4_Fin-Stat'!#REF!</f>
        <v>#REF!</v>
      </c>
      <c r="AD7" s="9"/>
      <c r="AE7" s="9"/>
      <c r="AF7" s="9"/>
      <c r="AG7" s="9"/>
      <c r="AH7" s="9"/>
      <c r="AI7" s="9"/>
      <c r="AJ7" s="9"/>
      <c r="AK7" s="9"/>
      <c r="AL7" s="9"/>
      <c r="AM7" s="9"/>
      <c r="AN7" s="9"/>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row>
    <row r="8" spans="1:81">
      <c r="A8" s="34">
        <v>1250</v>
      </c>
      <c r="C8" t="s">
        <v>145</v>
      </c>
      <c r="F8" s="583"/>
      <c r="G8" s="583">
        <v>7608</v>
      </c>
      <c r="H8" s="583">
        <v>8519</v>
      </c>
      <c r="I8" s="583">
        <v>18505</v>
      </c>
      <c r="J8" s="583">
        <v>12135</v>
      </c>
      <c r="K8" s="583">
        <v>0</v>
      </c>
      <c r="L8" s="583">
        <v>0</v>
      </c>
      <c r="M8" s="583"/>
      <c r="N8" s="583"/>
      <c r="O8" s="583">
        <v>8045</v>
      </c>
      <c r="P8" s="585"/>
      <c r="Q8" s="583"/>
      <c r="R8" s="583"/>
      <c r="S8" s="583"/>
      <c r="T8" s="588" t="e">
        <f>'4_Fin-Stat'!#REF!</f>
        <v>#REF!</v>
      </c>
      <c r="U8" s="588" t="e">
        <f>'4_Fin-Stat'!#REF!</f>
        <v>#REF!</v>
      </c>
      <c r="V8" s="588" t="e">
        <f>'4_Fin-Stat'!#REF!</f>
        <v>#REF!</v>
      </c>
      <c r="W8" s="588" t="e">
        <f>'4_Fin-Stat'!#REF!</f>
        <v>#REF!</v>
      </c>
      <c r="X8" s="588" t="e">
        <f>'4_Fin-Stat'!#REF!</f>
        <v>#REF!</v>
      </c>
      <c r="AD8" s="9"/>
      <c r="AE8" s="9"/>
      <c r="AF8" s="9"/>
      <c r="AG8" s="9"/>
      <c r="AH8" s="9"/>
      <c r="AI8" s="9"/>
      <c r="AJ8" s="9"/>
      <c r="AK8" s="9"/>
      <c r="AL8" s="9"/>
      <c r="AM8" s="9"/>
      <c r="AN8" s="9"/>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row>
    <row r="9" spans="1:81">
      <c r="A9" s="34">
        <v>1130</v>
      </c>
      <c r="C9" t="s">
        <v>147</v>
      </c>
      <c r="F9" s="583"/>
      <c r="G9" s="583"/>
      <c r="H9" s="583"/>
      <c r="I9" s="583"/>
      <c r="J9" s="583"/>
      <c r="K9" s="583"/>
      <c r="L9" s="583"/>
      <c r="M9" s="583"/>
      <c r="N9" s="583"/>
      <c r="O9" s="583">
        <v>7984</v>
      </c>
      <c r="P9" s="583">
        <v>10519</v>
      </c>
      <c r="Q9" s="583">
        <v>350</v>
      </c>
      <c r="R9" s="583">
        <v>1888</v>
      </c>
      <c r="S9" s="583">
        <v>29449</v>
      </c>
      <c r="T9" s="588" t="e">
        <f>'4_Fin-Stat'!#REF!</f>
        <v>#REF!</v>
      </c>
      <c r="U9" s="588" t="e">
        <f>'4_Fin-Stat'!#REF!</f>
        <v>#REF!</v>
      </c>
      <c r="V9" s="588" t="e">
        <f>'4_Fin-Stat'!#REF!</f>
        <v>#REF!</v>
      </c>
      <c r="W9" s="588" t="e">
        <f>'4_Fin-Stat'!#REF!</f>
        <v>#REF!</v>
      </c>
      <c r="X9" s="588" t="e">
        <f>'4_Fin-Stat'!#REF!</f>
        <v>#REF!</v>
      </c>
      <c r="AD9" s="9"/>
      <c r="AE9" s="9"/>
      <c r="AF9" s="9"/>
      <c r="AG9" s="9"/>
      <c r="AH9" s="9"/>
      <c r="AI9" s="9"/>
      <c r="AJ9" s="9"/>
      <c r="AK9" s="9"/>
      <c r="AL9" s="9"/>
      <c r="AM9" s="9"/>
      <c r="AN9" s="9"/>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row>
    <row r="10" spans="1:81">
      <c r="A10" s="34">
        <v>1810</v>
      </c>
      <c r="C10" t="s">
        <v>148</v>
      </c>
      <c r="F10" s="583">
        <v>24</v>
      </c>
      <c r="G10" s="583">
        <f>24+3594</f>
        <v>3618</v>
      </c>
      <c r="H10" s="583">
        <v>7093</v>
      </c>
      <c r="I10" s="583">
        <v>8562</v>
      </c>
      <c r="J10" s="583">
        <f>5975+1162</f>
        <v>7137</v>
      </c>
      <c r="K10" s="583">
        <f>15754+1890</f>
        <v>17644</v>
      </c>
      <c r="L10" s="583">
        <v>27497</v>
      </c>
      <c r="M10" s="583">
        <f>16119+716</f>
        <v>16835</v>
      </c>
      <c r="N10" s="583"/>
      <c r="O10" s="585"/>
      <c r="P10" s="585"/>
      <c r="Q10" s="583"/>
      <c r="R10" s="583"/>
      <c r="S10" s="583"/>
      <c r="T10" s="588" t="e">
        <f>'4_Fin-Stat'!#REF!</f>
        <v>#REF!</v>
      </c>
      <c r="U10" s="588" t="e">
        <f>'4_Fin-Stat'!#REF!</f>
        <v>#REF!</v>
      </c>
      <c r="V10" s="588" t="e">
        <f>'4_Fin-Stat'!#REF!</f>
        <v>#REF!</v>
      </c>
      <c r="W10" s="588" t="e">
        <f>'4_Fin-Stat'!#REF!</f>
        <v>#REF!</v>
      </c>
      <c r="X10" s="588" t="e">
        <f>'4_Fin-Stat'!#REF!</f>
        <v>#REF!</v>
      </c>
      <c r="AD10" s="9"/>
      <c r="AE10" s="9"/>
      <c r="AF10" s="9"/>
      <c r="AG10" s="9"/>
      <c r="AH10" s="9"/>
      <c r="AI10" s="9"/>
      <c r="AJ10" s="9"/>
      <c r="AK10" s="9"/>
      <c r="AL10" s="9"/>
      <c r="AM10" s="9"/>
      <c r="AN10" s="9"/>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row>
    <row r="11" spans="1:81">
      <c r="A11" s="34">
        <v>1700</v>
      </c>
      <c r="C11" t="s">
        <v>150</v>
      </c>
      <c r="F11" s="583"/>
      <c r="G11" s="583"/>
      <c r="H11" s="583"/>
      <c r="I11" s="583"/>
      <c r="J11" s="583">
        <v>4804</v>
      </c>
      <c r="K11" s="583">
        <v>9282</v>
      </c>
      <c r="L11" s="583">
        <v>10230</v>
      </c>
      <c r="M11" s="583">
        <v>254930</v>
      </c>
      <c r="N11" s="583"/>
      <c r="O11" s="583">
        <v>729</v>
      </c>
      <c r="P11" s="585"/>
      <c r="Q11" s="583"/>
      <c r="R11" s="583"/>
      <c r="S11" s="583"/>
      <c r="T11" s="588" t="e">
        <f>'4_Fin-Stat'!#REF!</f>
        <v>#REF!</v>
      </c>
      <c r="U11" s="588" t="e">
        <f>'4_Fin-Stat'!#REF!</f>
        <v>#REF!</v>
      </c>
      <c r="V11" s="588" t="e">
        <f>'4_Fin-Stat'!#REF!</f>
        <v>#REF!</v>
      </c>
      <c r="W11" s="588" t="e">
        <f>'4_Fin-Stat'!#REF!</f>
        <v>#REF!</v>
      </c>
      <c r="X11" s="588" t="e">
        <f>'4_Fin-Stat'!#REF!</f>
        <v>#REF!</v>
      </c>
      <c r="AD11" s="9"/>
      <c r="AE11" s="9"/>
      <c r="AF11" s="9"/>
      <c r="AG11" s="9"/>
      <c r="AH11" s="9"/>
      <c r="AI11" s="9"/>
      <c r="AJ11" s="9"/>
      <c r="AK11" s="9"/>
      <c r="AL11" s="9"/>
      <c r="AM11" s="9"/>
      <c r="AN11" s="9"/>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row>
    <row r="12" spans="1:81">
      <c r="A12" s="34">
        <v>1760</v>
      </c>
      <c r="C12" t="s">
        <v>938</v>
      </c>
      <c r="F12" s="583"/>
      <c r="G12" s="583"/>
      <c r="H12" s="583"/>
      <c r="I12" s="583"/>
      <c r="J12" s="583"/>
      <c r="K12" s="583"/>
      <c r="L12" s="583"/>
      <c r="M12" s="583">
        <f>'4_Fin-Stat'!M644</f>
        <v>0</v>
      </c>
      <c r="N12" s="583"/>
      <c r="O12" s="583">
        <f>'4_Fin-Stat'!O656</f>
        <v>0</v>
      </c>
      <c r="P12" s="583">
        <f>'4_Fin-Stat'!P656</f>
        <v>0</v>
      </c>
      <c r="Q12" s="583">
        <f>'4_Fin-Stat'!Q656</f>
        <v>0</v>
      </c>
      <c r="R12" s="583">
        <f>'4_Fin-Stat'!R656</f>
        <v>0</v>
      </c>
      <c r="S12" s="583">
        <f>'4_Fin-Stat'!S656</f>
        <v>0</v>
      </c>
      <c r="T12" s="583">
        <f>'4_Fin-Stat'!T656</f>
        <v>0</v>
      </c>
      <c r="U12" s="583">
        <f>'4_Fin-Stat'!U656</f>
        <v>0</v>
      </c>
      <c r="V12" s="583">
        <f>'4_Fin-Stat'!V656</f>
        <v>0</v>
      </c>
      <c r="W12" s="583">
        <f>'4_Fin-Stat'!W656</f>
        <v>0</v>
      </c>
      <c r="X12" s="583">
        <f>'4_Fin-Stat'!X656</f>
        <v>0</v>
      </c>
      <c r="AD12" s="9"/>
      <c r="AE12" s="9"/>
      <c r="AF12" s="9"/>
      <c r="AG12" s="9"/>
      <c r="AH12" s="9"/>
      <c r="AI12" s="9"/>
      <c r="AJ12" s="9"/>
      <c r="AK12" s="9"/>
      <c r="AL12" s="9"/>
      <c r="AM12" s="9"/>
      <c r="AN12" s="9"/>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row>
    <row r="13" spans="1:81">
      <c r="A13" s="34">
        <v>1750</v>
      </c>
      <c r="C13" t="s">
        <v>202</v>
      </c>
      <c r="F13" s="583"/>
      <c r="G13" s="583"/>
      <c r="H13" s="583"/>
      <c r="I13" s="583"/>
      <c r="J13" s="585"/>
      <c r="K13" s="585"/>
      <c r="L13" s="585"/>
      <c r="M13" s="585"/>
      <c r="N13" s="585"/>
      <c r="O13" s="585"/>
      <c r="P13" s="585"/>
      <c r="Q13" s="583"/>
      <c r="R13" s="583"/>
      <c r="S13" s="583"/>
      <c r="T13" s="588" t="e">
        <f>'4_Fin-Stat'!#REF!</f>
        <v>#REF!</v>
      </c>
      <c r="U13" s="588" t="e">
        <f>'4_Fin-Stat'!#REF!</f>
        <v>#REF!</v>
      </c>
      <c r="V13" s="588" t="e">
        <f>'4_Fin-Stat'!#REF!</f>
        <v>#REF!</v>
      </c>
      <c r="W13" s="588" t="e">
        <f>'4_Fin-Stat'!#REF!</f>
        <v>#REF!</v>
      </c>
      <c r="X13" s="588" t="e">
        <f>'4_Fin-Stat'!#REF!</f>
        <v>#REF!</v>
      </c>
      <c r="AD13" s="9"/>
      <c r="AE13" s="9"/>
      <c r="AF13" s="9"/>
      <c r="AG13" s="9"/>
      <c r="AH13" s="9"/>
      <c r="AI13" s="9"/>
      <c r="AJ13" s="9"/>
      <c r="AK13" s="9"/>
      <c r="AL13" s="9"/>
      <c r="AM13" s="9"/>
      <c r="AN13" s="9"/>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row>
    <row r="14" spans="1:81">
      <c r="A14" s="34">
        <v>1800</v>
      </c>
      <c r="C14" t="s">
        <v>322</v>
      </c>
      <c r="F14" s="584">
        <v>17079</v>
      </c>
      <c r="G14" s="584">
        <v>24826</v>
      </c>
      <c r="H14" s="584">
        <v>22846</v>
      </c>
      <c r="I14" s="584">
        <v>52417</v>
      </c>
      <c r="J14" s="584">
        <v>45020</v>
      </c>
      <c r="K14" s="584">
        <v>37658</v>
      </c>
      <c r="L14" s="584">
        <v>30035</v>
      </c>
      <c r="M14" s="584"/>
      <c r="N14" s="584"/>
      <c r="O14" s="584"/>
      <c r="P14" s="589"/>
      <c r="Q14" s="584"/>
      <c r="R14" s="584"/>
      <c r="S14" s="584"/>
      <c r="T14" s="590" t="e">
        <f>'4_Fin-Stat'!#REF!</f>
        <v>#REF!</v>
      </c>
      <c r="U14" s="590" t="e">
        <f>'4_Fin-Stat'!#REF!</f>
        <v>#REF!</v>
      </c>
      <c r="V14" s="590" t="e">
        <f>'4_Fin-Stat'!#REF!</f>
        <v>#REF!</v>
      </c>
      <c r="W14" s="590" t="e">
        <f>'4_Fin-Stat'!#REF!</f>
        <v>#REF!</v>
      </c>
      <c r="X14" s="590" t="e">
        <f>'4_Fin-Stat'!#REF!</f>
        <v>#REF!</v>
      </c>
      <c r="AD14" s="9"/>
      <c r="AE14" s="9"/>
      <c r="AF14" s="9"/>
      <c r="AG14" s="9"/>
      <c r="AH14" s="9"/>
      <c r="AI14" s="9"/>
      <c r="AJ14" s="9"/>
      <c r="AK14" s="9"/>
      <c r="AL14" s="9"/>
      <c r="AM14" s="9"/>
      <c r="AN14" s="9"/>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row>
    <row r="15" spans="1:81">
      <c r="A15" s="34"/>
      <c r="F15" s="583">
        <f t="shared" ref="F15:M15" si="7">SUM(F4:F14)</f>
        <v>196366</v>
      </c>
      <c r="G15" s="583">
        <f t="shared" si="7"/>
        <v>167143</v>
      </c>
      <c r="H15" s="583">
        <f t="shared" si="7"/>
        <v>276687</v>
      </c>
      <c r="I15" s="583">
        <f t="shared" si="7"/>
        <v>246019</v>
      </c>
      <c r="J15" s="583">
        <f t="shared" si="7"/>
        <v>337045</v>
      </c>
      <c r="K15" s="583">
        <f t="shared" si="7"/>
        <v>384888</v>
      </c>
      <c r="L15" s="583">
        <f t="shared" si="7"/>
        <v>401702</v>
      </c>
      <c r="M15" s="583">
        <f t="shared" si="7"/>
        <v>506187</v>
      </c>
      <c r="N15" s="583"/>
      <c r="O15" s="583">
        <f t="shared" ref="O15:X15" si="8">SUM(O4:O14)</f>
        <v>567885</v>
      </c>
      <c r="P15" s="583">
        <f t="shared" si="8"/>
        <v>253851</v>
      </c>
      <c r="Q15" s="583">
        <f t="shared" si="8"/>
        <v>260570</v>
      </c>
      <c r="R15" s="583">
        <f t="shared" si="8"/>
        <v>614929</v>
      </c>
      <c r="S15" s="583">
        <f t="shared" si="8"/>
        <v>547226</v>
      </c>
      <c r="T15" s="583" t="e">
        <f t="shared" si="8"/>
        <v>#REF!</v>
      </c>
      <c r="U15" s="583" t="e">
        <f t="shared" si="8"/>
        <v>#REF!</v>
      </c>
      <c r="V15" s="583" t="e">
        <f t="shared" si="8"/>
        <v>#REF!</v>
      </c>
      <c r="W15" s="583" t="e">
        <f t="shared" si="8"/>
        <v>#REF!</v>
      </c>
      <c r="X15" s="583" t="e">
        <f t="shared" si="8"/>
        <v>#REF!</v>
      </c>
      <c r="AD15" s="9"/>
      <c r="AE15" s="9"/>
      <c r="AF15" s="9"/>
      <c r="AG15" s="9"/>
      <c r="AH15" s="9"/>
      <c r="AI15" s="9"/>
      <c r="AJ15" s="9"/>
      <c r="AK15" s="9"/>
      <c r="AL15" s="9"/>
      <c r="AM15" s="9"/>
      <c r="AN15" s="9"/>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row>
    <row r="16" spans="1:81">
      <c r="A16" s="34"/>
      <c r="C16" t="s">
        <v>143</v>
      </c>
      <c r="F16" s="583"/>
      <c r="G16" s="583"/>
      <c r="H16" s="583"/>
      <c r="I16" s="583"/>
      <c r="J16" s="583"/>
      <c r="K16" s="583"/>
      <c r="L16" s="583"/>
      <c r="M16" s="583"/>
      <c r="N16" s="583"/>
      <c r="O16" s="583"/>
      <c r="P16" s="585"/>
      <c r="Q16" s="583">
        <v>4984</v>
      </c>
      <c r="R16" s="583">
        <v>4895</v>
      </c>
      <c r="S16" s="583">
        <v>4797</v>
      </c>
      <c r="T16" s="588" t="e">
        <f>'4_Fin-Stat'!#REF!</f>
        <v>#REF!</v>
      </c>
      <c r="U16" s="588" t="e">
        <f>'4_Fin-Stat'!#REF!</f>
        <v>#REF!</v>
      </c>
      <c r="V16" s="588" t="e">
        <f>'4_Fin-Stat'!#REF!</f>
        <v>#REF!</v>
      </c>
      <c r="W16" s="588" t="e">
        <f>'4_Fin-Stat'!#REF!</f>
        <v>#REF!</v>
      </c>
      <c r="X16" s="588" t="e">
        <f>'4_Fin-Stat'!#REF!</f>
        <v>#REF!</v>
      </c>
      <c r="AD16" s="9"/>
      <c r="AE16" s="9"/>
      <c r="AF16" s="9"/>
      <c r="AG16" s="9"/>
      <c r="AH16" s="9"/>
      <c r="AI16" s="9"/>
      <c r="AJ16" s="9"/>
      <c r="AK16" s="9"/>
      <c r="AL16" s="9"/>
      <c r="AM16" s="9"/>
      <c r="AN16" s="9"/>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row>
    <row r="17" spans="1:81">
      <c r="A17" s="34">
        <v>1700</v>
      </c>
      <c r="C17" t="s">
        <v>139</v>
      </c>
      <c r="F17" s="583"/>
      <c r="G17" s="583"/>
      <c r="H17" s="583"/>
      <c r="I17" s="583"/>
      <c r="J17" s="583"/>
      <c r="K17" s="583"/>
      <c r="L17" s="583"/>
      <c r="M17" s="583"/>
      <c r="N17" s="583"/>
      <c r="O17" s="583"/>
      <c r="P17" s="585"/>
      <c r="Q17" s="583"/>
      <c r="R17" s="583"/>
      <c r="S17" s="583"/>
      <c r="T17" s="588" t="e">
        <f>'4_Fin-Stat'!#REF!</f>
        <v>#REF!</v>
      </c>
      <c r="U17" s="588" t="e">
        <f>'4_Fin-Stat'!#REF!</f>
        <v>#REF!</v>
      </c>
      <c r="V17" s="588" t="e">
        <f>'4_Fin-Stat'!#REF!</f>
        <v>#REF!</v>
      </c>
      <c r="W17" s="588" t="e">
        <f>'4_Fin-Stat'!#REF!</f>
        <v>#REF!</v>
      </c>
      <c r="X17" s="588" t="e">
        <f>'4_Fin-Stat'!#REF!</f>
        <v>#REF!</v>
      </c>
      <c r="AD17" s="9"/>
      <c r="AE17" s="9"/>
      <c r="AF17" s="9"/>
      <c r="AG17" s="9"/>
      <c r="AH17" s="9"/>
      <c r="AI17" s="9"/>
      <c r="AJ17" s="9"/>
      <c r="AK17" s="9"/>
      <c r="AL17" s="9"/>
      <c r="AM17" s="9"/>
      <c r="AN17" s="9"/>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row>
    <row r="18" spans="1:81">
      <c r="A18" s="34">
        <v>1820</v>
      </c>
      <c r="C18" t="s">
        <v>153</v>
      </c>
      <c r="F18" s="583"/>
      <c r="G18" s="583"/>
      <c r="H18" s="583"/>
      <c r="I18" s="583"/>
      <c r="J18" s="583"/>
      <c r="K18" s="583"/>
      <c r="L18" s="583"/>
      <c r="M18" s="583"/>
      <c r="N18" s="583"/>
      <c r="O18" s="583">
        <v>11780</v>
      </c>
      <c r="P18" s="585">
        <v>6993</v>
      </c>
      <c r="Q18" s="583">
        <v>6077</v>
      </c>
      <c r="R18" s="583">
        <v>6065</v>
      </c>
      <c r="S18" s="583">
        <v>3554</v>
      </c>
      <c r="T18" s="588" t="e">
        <f>'4_Fin-Stat'!#REF!</f>
        <v>#REF!</v>
      </c>
      <c r="U18" s="588" t="e">
        <f>'4_Fin-Stat'!#REF!</f>
        <v>#REF!</v>
      </c>
      <c r="V18" s="588" t="e">
        <f>'4_Fin-Stat'!#REF!</f>
        <v>#REF!</v>
      </c>
      <c r="W18" s="588" t="e">
        <f>'4_Fin-Stat'!#REF!</f>
        <v>#REF!</v>
      </c>
      <c r="X18" s="588" t="e">
        <f>'4_Fin-Stat'!#REF!</f>
        <v>#REF!</v>
      </c>
      <c r="AD18" s="9"/>
      <c r="AE18" s="9"/>
      <c r="AF18" s="9"/>
      <c r="AG18" s="9"/>
      <c r="AH18" s="9"/>
      <c r="AI18" s="9"/>
      <c r="AJ18" s="9"/>
      <c r="AK18" s="9"/>
      <c r="AL18" s="9"/>
      <c r="AM18" s="9"/>
      <c r="AN18" s="9"/>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row>
    <row r="19" spans="1:81">
      <c r="A19" s="34">
        <v>1810</v>
      </c>
      <c r="C19" t="s">
        <v>154</v>
      </c>
      <c r="F19" s="583"/>
      <c r="G19" s="583"/>
      <c r="H19" s="583"/>
      <c r="I19" s="583"/>
      <c r="J19" s="583"/>
      <c r="K19" s="583"/>
      <c r="L19" s="583"/>
      <c r="M19" s="583"/>
      <c r="N19" s="583"/>
      <c r="O19" s="583">
        <v>2811</v>
      </c>
      <c r="P19" s="585">
        <v>2211</v>
      </c>
      <c r="Q19" s="583">
        <v>294</v>
      </c>
      <c r="R19" s="583">
        <v>4402</v>
      </c>
      <c r="S19" s="583">
        <v>3772</v>
      </c>
      <c r="T19" s="588" t="e">
        <f>'4_Fin-Stat'!#REF!</f>
        <v>#REF!</v>
      </c>
      <c r="U19" s="588" t="e">
        <f>'4_Fin-Stat'!#REF!</f>
        <v>#REF!</v>
      </c>
      <c r="V19" s="588" t="e">
        <f>'4_Fin-Stat'!#REF!</f>
        <v>#REF!</v>
      </c>
      <c r="W19" s="588" t="e">
        <f>'4_Fin-Stat'!#REF!</f>
        <v>#REF!</v>
      </c>
      <c r="X19" s="588" t="e">
        <f>'4_Fin-Stat'!#REF!</f>
        <v>#REF!</v>
      </c>
      <c r="AD19" s="9"/>
      <c r="AE19" s="9"/>
      <c r="AF19" s="9"/>
      <c r="AG19" s="9"/>
      <c r="AH19" s="9"/>
      <c r="AI19" s="9"/>
      <c r="AJ19" s="9"/>
      <c r="AK19" s="9"/>
      <c r="AL19" s="9"/>
      <c r="AM19" s="9"/>
      <c r="AN19" s="9"/>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row>
    <row r="20" spans="1:81">
      <c r="A20" s="34"/>
      <c r="C20" t="s">
        <v>200</v>
      </c>
      <c r="F20" s="583"/>
      <c r="G20" s="583"/>
      <c r="H20" s="583"/>
      <c r="I20" s="583"/>
      <c r="J20" s="583"/>
      <c r="K20" s="583"/>
      <c r="L20" s="583"/>
      <c r="M20" s="583"/>
      <c r="N20" s="583"/>
      <c r="O20" s="583"/>
      <c r="P20" s="583"/>
      <c r="Q20" s="583"/>
      <c r="R20" s="583"/>
      <c r="S20" s="583"/>
      <c r="T20" s="588"/>
      <c r="U20" s="588"/>
      <c r="V20" s="588"/>
      <c r="W20" s="588"/>
      <c r="X20" s="588"/>
      <c r="AD20" s="9"/>
      <c r="AE20" s="9"/>
      <c r="AF20" s="9"/>
      <c r="AG20" s="9"/>
      <c r="AH20" s="9"/>
      <c r="AI20" s="9"/>
      <c r="AJ20" s="9"/>
      <c r="AK20" s="9"/>
      <c r="AL20" s="9"/>
      <c r="AM20" s="9"/>
      <c r="AN20" s="9"/>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row>
    <row r="21" spans="1:81">
      <c r="A21" s="34">
        <v>1730</v>
      </c>
      <c r="C21" t="s">
        <v>202</v>
      </c>
      <c r="F21" s="583"/>
      <c r="G21" s="583"/>
      <c r="H21" s="583"/>
      <c r="I21" s="583"/>
      <c r="J21" s="583">
        <v>195489</v>
      </c>
      <c r="K21" s="583">
        <v>179537</v>
      </c>
      <c r="L21" s="583">
        <v>150711</v>
      </c>
      <c r="M21" s="583">
        <v>26594</v>
      </c>
      <c r="N21" s="583"/>
      <c r="O21" s="583">
        <v>42358</v>
      </c>
      <c r="P21" s="583">
        <v>43633</v>
      </c>
      <c r="Q21" s="583">
        <v>50053</v>
      </c>
      <c r="R21" s="583">
        <v>46930</v>
      </c>
      <c r="S21" s="583">
        <v>26772</v>
      </c>
      <c r="T21" s="588" t="e">
        <f>'4_Fin-Stat'!#REF!</f>
        <v>#REF!</v>
      </c>
      <c r="U21" s="588" t="e">
        <f>'4_Fin-Stat'!#REF!</f>
        <v>#REF!</v>
      </c>
      <c r="V21" s="588" t="e">
        <f>'4_Fin-Stat'!#REF!</f>
        <v>#REF!</v>
      </c>
      <c r="W21" s="588" t="e">
        <f>'4_Fin-Stat'!#REF!</f>
        <v>#REF!</v>
      </c>
      <c r="X21" s="588" t="e">
        <f>'4_Fin-Stat'!#REF!</f>
        <v>#REF!</v>
      </c>
      <c r="AD21" s="9"/>
      <c r="AE21" s="9"/>
      <c r="AF21" s="9"/>
      <c r="AG21" s="9"/>
      <c r="AH21" s="9"/>
      <c r="AI21" s="9"/>
      <c r="AJ21" s="9"/>
      <c r="AK21" s="9"/>
      <c r="AL21" s="9"/>
      <c r="AM21" s="9"/>
      <c r="AN21" s="9"/>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row>
    <row r="22" spans="1:81">
      <c r="A22" s="34">
        <v>1780</v>
      </c>
      <c r="C22" t="s">
        <v>156</v>
      </c>
      <c r="F22" s="583"/>
      <c r="G22" s="583"/>
      <c r="H22" s="583"/>
      <c r="I22" s="583"/>
      <c r="J22" s="583"/>
      <c r="K22" s="583"/>
      <c r="L22" s="583"/>
      <c r="M22" s="583">
        <v>132</v>
      </c>
      <c r="N22" s="583"/>
      <c r="O22" s="583">
        <v>1122</v>
      </c>
      <c r="P22" s="583">
        <v>449</v>
      </c>
      <c r="Q22" s="583">
        <v>3399</v>
      </c>
      <c r="R22" s="583">
        <v>7947</v>
      </c>
      <c r="S22" s="583">
        <v>8437</v>
      </c>
      <c r="T22" s="588" t="e">
        <f>'4_Fin-Stat'!#REF!</f>
        <v>#REF!</v>
      </c>
      <c r="U22" s="588" t="e">
        <f>'4_Fin-Stat'!#REF!</f>
        <v>#REF!</v>
      </c>
      <c r="V22" s="588" t="e">
        <f>'4_Fin-Stat'!#REF!</f>
        <v>#REF!</v>
      </c>
      <c r="W22" s="588" t="e">
        <f>'4_Fin-Stat'!#REF!</f>
        <v>#REF!</v>
      </c>
      <c r="X22" s="588" t="e">
        <f>'4_Fin-Stat'!#REF!</f>
        <v>#REF!</v>
      </c>
      <c r="AD22" s="9"/>
      <c r="AE22" s="9"/>
      <c r="AF22" s="9"/>
      <c r="AG22" s="9"/>
      <c r="AH22" s="9"/>
      <c r="AI22" s="9"/>
      <c r="AJ22" s="9"/>
      <c r="AK22" s="9"/>
      <c r="AL22" s="9"/>
      <c r="AM22" s="9"/>
      <c r="AN22" s="9"/>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row>
    <row r="23" spans="1:81">
      <c r="A23" s="34">
        <v>1620</v>
      </c>
      <c r="C23" s="1" t="s">
        <v>939</v>
      </c>
      <c r="D23" s="1"/>
      <c r="F23" s="583" t="e">
        <f t="shared" ref="F23:M26" si="9">F88</f>
        <v>#REF!</v>
      </c>
      <c r="G23" s="583" t="e">
        <f t="shared" si="9"/>
        <v>#REF!</v>
      </c>
      <c r="H23" s="583" t="e">
        <f t="shared" si="9"/>
        <v>#REF!</v>
      </c>
      <c r="I23" s="583" t="e">
        <f t="shared" si="9"/>
        <v>#REF!</v>
      </c>
      <c r="J23" s="583" t="e">
        <f t="shared" si="9"/>
        <v>#REF!</v>
      </c>
      <c r="K23" s="583" t="e">
        <f t="shared" si="9"/>
        <v>#REF!</v>
      </c>
      <c r="L23" s="583" t="e">
        <f t="shared" si="9"/>
        <v>#REF!</v>
      </c>
      <c r="M23" s="583" t="e">
        <f t="shared" si="9"/>
        <v>#REF!</v>
      </c>
      <c r="N23" s="583"/>
      <c r="O23" s="583" t="e">
        <f t="shared" ref="O23:X23" si="10">O88</f>
        <v>#REF!</v>
      </c>
      <c r="P23" s="583" t="e">
        <f t="shared" si="10"/>
        <v>#REF!</v>
      </c>
      <c r="Q23" s="583" t="e">
        <f t="shared" si="10"/>
        <v>#REF!</v>
      </c>
      <c r="R23" s="583" t="e">
        <f t="shared" si="10"/>
        <v>#REF!</v>
      </c>
      <c r="S23" s="583" t="e">
        <f t="shared" si="10"/>
        <v>#REF!</v>
      </c>
      <c r="T23" s="583" t="e">
        <f t="shared" si="10"/>
        <v>#REF!</v>
      </c>
      <c r="U23" s="583" t="e">
        <f t="shared" si="10"/>
        <v>#REF!</v>
      </c>
      <c r="V23" s="583" t="e">
        <f t="shared" si="10"/>
        <v>#REF!</v>
      </c>
      <c r="W23" s="583" t="e">
        <f t="shared" si="10"/>
        <v>#REF!</v>
      </c>
      <c r="X23" s="583" t="e">
        <f t="shared" si="10"/>
        <v>#REF!</v>
      </c>
      <c r="AD23" s="9"/>
      <c r="AE23" s="9"/>
      <c r="AF23" s="9"/>
      <c r="AG23" s="9"/>
      <c r="AH23" s="9"/>
      <c r="AI23" s="9"/>
      <c r="AJ23" s="9"/>
      <c r="AK23" s="9"/>
      <c r="AL23" s="9"/>
      <c r="AM23" s="9"/>
      <c r="AN23" s="9"/>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row>
    <row r="24" spans="1:81">
      <c r="A24" s="34">
        <v>1510</v>
      </c>
      <c r="C24" t="s">
        <v>940</v>
      </c>
      <c r="F24" s="583">
        <f t="shared" si="9"/>
        <v>-2552</v>
      </c>
      <c r="G24" s="583">
        <f t="shared" si="9"/>
        <v>-29974</v>
      </c>
      <c r="H24" s="583">
        <f t="shared" si="9"/>
        <v>-51540</v>
      </c>
      <c r="I24" s="583">
        <f t="shared" si="9"/>
        <v>77802</v>
      </c>
      <c r="J24" s="583">
        <f t="shared" si="9"/>
        <v>20105</v>
      </c>
      <c r="K24" s="583">
        <f t="shared" si="9"/>
        <v>-61835</v>
      </c>
      <c r="L24" s="583">
        <f t="shared" si="9"/>
        <v>-155990</v>
      </c>
      <c r="M24" s="583">
        <f t="shared" si="9"/>
        <v>-224959</v>
      </c>
      <c r="N24" s="583"/>
      <c r="O24" s="583" t="e">
        <f t="shared" ref="O24:X24" si="11">O89</f>
        <v>#REF!</v>
      </c>
      <c r="P24" s="583" t="e">
        <f t="shared" si="11"/>
        <v>#REF!</v>
      </c>
      <c r="Q24" s="583" t="e">
        <f t="shared" si="11"/>
        <v>#REF!</v>
      </c>
      <c r="R24" s="583" t="e">
        <f t="shared" si="11"/>
        <v>#REF!</v>
      </c>
      <c r="S24" s="583" t="e">
        <f t="shared" si="11"/>
        <v>#REF!</v>
      </c>
      <c r="T24" s="583" t="e">
        <f t="shared" si="11"/>
        <v>#REF!</v>
      </c>
      <c r="U24" s="583" t="e">
        <f t="shared" si="11"/>
        <v>#REF!</v>
      </c>
      <c r="V24" s="583" t="e">
        <f t="shared" si="11"/>
        <v>#REF!</v>
      </c>
      <c r="W24" s="583" t="e">
        <f t="shared" si="11"/>
        <v>#REF!</v>
      </c>
      <c r="X24" s="583" t="e">
        <f t="shared" si="11"/>
        <v>#REF!</v>
      </c>
      <c r="AD24" s="9"/>
      <c r="AE24" s="9"/>
      <c r="AF24" s="9"/>
      <c r="AG24" s="9"/>
      <c r="AH24" s="9"/>
      <c r="AI24" s="9"/>
      <c r="AJ24" s="9"/>
      <c r="AK24" s="9"/>
      <c r="AL24" s="9"/>
      <c r="AM24" s="9"/>
      <c r="AN24" s="9"/>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row>
    <row r="25" spans="1:81">
      <c r="A25" s="34">
        <v>1510</v>
      </c>
      <c r="C25" t="s">
        <v>941</v>
      </c>
      <c r="F25" s="583">
        <f t="shared" si="9"/>
        <v>2552</v>
      </c>
      <c r="G25" s="583">
        <f t="shared" si="9"/>
        <v>29974</v>
      </c>
      <c r="H25" s="583">
        <f t="shared" si="9"/>
        <v>51540</v>
      </c>
      <c r="I25" s="583">
        <f t="shared" si="9"/>
        <v>-77802</v>
      </c>
      <c r="J25" s="583">
        <f t="shared" si="9"/>
        <v>-20105</v>
      </c>
      <c r="K25" s="583">
        <f t="shared" si="9"/>
        <v>61835</v>
      </c>
      <c r="L25" s="583">
        <f t="shared" si="9"/>
        <v>155990</v>
      </c>
      <c r="M25" s="583">
        <f t="shared" si="9"/>
        <v>224959</v>
      </c>
      <c r="N25" s="583"/>
      <c r="O25" s="583" t="e">
        <f t="shared" ref="O25:X25" si="12">O90</f>
        <v>#REF!</v>
      </c>
      <c r="P25" s="583" t="e">
        <f t="shared" si="12"/>
        <v>#REF!</v>
      </c>
      <c r="Q25" s="583" t="e">
        <f t="shared" si="12"/>
        <v>#REF!</v>
      </c>
      <c r="R25" s="583" t="e">
        <f t="shared" si="12"/>
        <v>#REF!</v>
      </c>
      <c r="S25" s="583" t="e">
        <f t="shared" si="12"/>
        <v>#REF!</v>
      </c>
      <c r="T25" s="583" t="e">
        <f t="shared" si="12"/>
        <v>#REF!</v>
      </c>
      <c r="U25" s="583" t="e">
        <f t="shared" si="12"/>
        <v>#REF!</v>
      </c>
      <c r="V25" s="583" t="e">
        <f t="shared" si="12"/>
        <v>#REF!</v>
      </c>
      <c r="W25" s="583" t="e">
        <f t="shared" si="12"/>
        <v>#REF!</v>
      </c>
      <c r="X25" s="583" t="e">
        <f t="shared" si="12"/>
        <v>#REF!</v>
      </c>
      <c r="AD25" s="9"/>
      <c r="AE25" s="9"/>
      <c r="AF25" s="9"/>
      <c r="AG25" s="9"/>
      <c r="AH25" s="9"/>
      <c r="AI25" s="9"/>
      <c r="AJ25" s="9"/>
      <c r="AK25" s="9"/>
      <c r="AL25" s="9"/>
      <c r="AM25" s="9"/>
      <c r="AN25" s="9"/>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row>
    <row r="26" spans="1:81">
      <c r="A26" s="34">
        <v>1520</v>
      </c>
      <c r="C26" t="s">
        <v>159</v>
      </c>
      <c r="F26" s="584" t="e">
        <f t="shared" si="9"/>
        <v>#REF!</v>
      </c>
      <c r="G26" s="584" t="e">
        <f t="shared" si="9"/>
        <v>#REF!</v>
      </c>
      <c r="H26" s="584" t="e">
        <f t="shared" si="9"/>
        <v>#REF!</v>
      </c>
      <c r="I26" s="584" t="e">
        <f t="shared" si="9"/>
        <v>#REF!</v>
      </c>
      <c r="J26" s="584" t="e">
        <f t="shared" si="9"/>
        <v>#REF!</v>
      </c>
      <c r="K26" s="584" t="e">
        <f t="shared" si="9"/>
        <v>#REF!</v>
      </c>
      <c r="L26" s="584" t="e">
        <f t="shared" si="9"/>
        <v>#REF!</v>
      </c>
      <c r="M26" s="584" t="e">
        <f t="shared" si="9"/>
        <v>#REF!</v>
      </c>
      <c r="N26" s="584"/>
      <c r="O26" s="584" t="e">
        <f t="shared" ref="O26:X26" si="13">O91</f>
        <v>#REF!</v>
      </c>
      <c r="P26" s="584" t="e">
        <f t="shared" si="13"/>
        <v>#REF!</v>
      </c>
      <c r="Q26" s="584" t="e">
        <f t="shared" si="13"/>
        <v>#REF!</v>
      </c>
      <c r="R26" s="584" t="e">
        <f t="shared" si="13"/>
        <v>#REF!</v>
      </c>
      <c r="S26" s="584" t="e">
        <f t="shared" si="13"/>
        <v>#REF!</v>
      </c>
      <c r="T26" s="584" t="e">
        <f t="shared" si="13"/>
        <v>#REF!</v>
      </c>
      <c r="U26" s="584" t="e">
        <f t="shared" si="13"/>
        <v>#REF!</v>
      </c>
      <c r="V26" s="584" t="e">
        <f t="shared" si="13"/>
        <v>#REF!</v>
      </c>
      <c r="W26" s="584" t="e">
        <f t="shared" si="13"/>
        <v>#REF!</v>
      </c>
      <c r="X26" s="584" t="e">
        <f t="shared" si="13"/>
        <v>#REF!</v>
      </c>
      <c r="AD26" s="9"/>
      <c r="AE26" s="9"/>
      <c r="AF26" s="9"/>
      <c r="AG26" s="9"/>
      <c r="AH26" s="9"/>
      <c r="AI26" s="9"/>
      <c r="AJ26" s="9"/>
      <c r="AK26" s="9"/>
      <c r="AL26" s="9"/>
      <c r="AM26" s="9"/>
      <c r="AN26" s="9"/>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row>
    <row r="27" spans="1:81">
      <c r="A27" s="34"/>
      <c r="F27" s="583" t="e">
        <f t="shared" ref="F27:M27" si="14">SUM(F23:F26)</f>
        <v>#REF!</v>
      </c>
      <c r="G27" s="583" t="e">
        <f t="shared" si="14"/>
        <v>#REF!</v>
      </c>
      <c r="H27" s="583" t="e">
        <f t="shared" si="14"/>
        <v>#REF!</v>
      </c>
      <c r="I27" s="583" t="e">
        <f t="shared" si="14"/>
        <v>#REF!</v>
      </c>
      <c r="J27" s="583" t="e">
        <f t="shared" si="14"/>
        <v>#REF!</v>
      </c>
      <c r="K27" s="583" t="e">
        <f t="shared" si="14"/>
        <v>#REF!</v>
      </c>
      <c r="L27" s="583" t="e">
        <f t="shared" si="14"/>
        <v>#REF!</v>
      </c>
      <c r="M27" s="583" t="e">
        <f t="shared" si="14"/>
        <v>#REF!</v>
      </c>
      <c r="N27" s="583"/>
      <c r="O27" s="583" t="e">
        <f t="shared" ref="O27:X27" si="15">SUM(O23:O26)</f>
        <v>#REF!</v>
      </c>
      <c r="P27" s="583" t="e">
        <f t="shared" si="15"/>
        <v>#REF!</v>
      </c>
      <c r="Q27" s="583" t="e">
        <f t="shared" si="15"/>
        <v>#REF!</v>
      </c>
      <c r="R27" s="583" t="e">
        <f t="shared" si="15"/>
        <v>#REF!</v>
      </c>
      <c r="S27" s="583" t="e">
        <f t="shared" si="15"/>
        <v>#REF!</v>
      </c>
      <c r="T27" s="583" t="e">
        <f t="shared" si="15"/>
        <v>#REF!</v>
      </c>
      <c r="U27" s="583" t="e">
        <f t="shared" si="15"/>
        <v>#REF!</v>
      </c>
      <c r="V27" s="583" t="e">
        <f t="shared" si="15"/>
        <v>#REF!</v>
      </c>
      <c r="W27" s="583" t="e">
        <f t="shared" si="15"/>
        <v>#REF!</v>
      </c>
      <c r="X27" s="583" t="e">
        <f t="shared" si="15"/>
        <v>#REF!</v>
      </c>
      <c r="AD27" s="9"/>
      <c r="AE27" s="9"/>
      <c r="AF27" s="9"/>
      <c r="AG27" s="9"/>
      <c r="AH27" s="9"/>
      <c r="AI27" s="9"/>
      <c r="AJ27" s="9"/>
      <c r="AK27" s="9"/>
      <c r="AL27" s="9"/>
      <c r="AM27" s="9"/>
      <c r="AN27" s="9"/>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row>
    <row r="28" spans="1:81">
      <c r="A28" s="34">
        <v>1610</v>
      </c>
      <c r="C28" t="s">
        <v>935</v>
      </c>
      <c r="F28" s="583" t="e">
        <f t="shared" ref="F28:M29" si="16">F93</f>
        <v>#REF!</v>
      </c>
      <c r="G28" s="583" t="e">
        <f t="shared" si="16"/>
        <v>#REF!</v>
      </c>
      <c r="H28" s="583" t="e">
        <f t="shared" si="16"/>
        <v>#REF!</v>
      </c>
      <c r="I28" s="583" t="e">
        <f t="shared" si="16"/>
        <v>#REF!</v>
      </c>
      <c r="J28" s="583" t="e">
        <f t="shared" si="16"/>
        <v>#REF!</v>
      </c>
      <c r="K28" s="583" t="e">
        <f t="shared" si="16"/>
        <v>#REF!</v>
      </c>
      <c r="L28" s="583" t="e">
        <f t="shared" si="16"/>
        <v>#REF!</v>
      </c>
      <c r="M28" s="583" t="e">
        <f t="shared" si="16"/>
        <v>#REF!</v>
      </c>
      <c r="N28" s="583"/>
      <c r="O28" s="583" t="e">
        <f t="shared" ref="O28:X28" si="17">O93</f>
        <v>#REF!</v>
      </c>
      <c r="P28" s="583" t="e">
        <f t="shared" si="17"/>
        <v>#REF!</v>
      </c>
      <c r="Q28" s="583" t="e">
        <f t="shared" si="17"/>
        <v>#REF!</v>
      </c>
      <c r="R28" s="583" t="e">
        <f t="shared" si="17"/>
        <v>#REF!</v>
      </c>
      <c r="S28" s="583" t="e">
        <f t="shared" si="17"/>
        <v>#REF!</v>
      </c>
      <c r="T28" s="583" t="e">
        <f t="shared" si="17"/>
        <v>#REF!</v>
      </c>
      <c r="U28" s="583" t="e">
        <f t="shared" si="17"/>
        <v>#REF!</v>
      </c>
      <c r="V28" s="583" t="e">
        <f t="shared" si="17"/>
        <v>#REF!</v>
      </c>
      <c r="W28" s="583" t="e">
        <f t="shared" si="17"/>
        <v>#REF!</v>
      </c>
      <c r="X28" s="583" t="e">
        <f t="shared" si="17"/>
        <v>#REF!</v>
      </c>
      <c r="AD28" s="9"/>
      <c r="AE28" s="9"/>
      <c r="AF28" s="9"/>
      <c r="AG28" s="9"/>
      <c r="AH28" s="9"/>
      <c r="AI28" s="9"/>
      <c r="AJ28" s="9"/>
      <c r="AK28" s="9"/>
      <c r="AL28" s="9"/>
      <c r="AM28" s="9"/>
      <c r="AN28" s="9"/>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row>
    <row r="29" spans="1:81">
      <c r="A29" s="34">
        <v>1610</v>
      </c>
      <c r="C29" t="s">
        <v>942</v>
      </c>
      <c r="F29" s="583">
        <f t="shared" si="16"/>
        <v>0</v>
      </c>
      <c r="G29" s="583" t="e">
        <f t="shared" si="16"/>
        <v>#REF!</v>
      </c>
      <c r="H29" s="583" t="e">
        <f t="shared" si="16"/>
        <v>#REF!</v>
      </c>
      <c r="I29" s="583" t="e">
        <f t="shared" si="16"/>
        <v>#REF!</v>
      </c>
      <c r="J29" s="583" t="e">
        <f t="shared" si="16"/>
        <v>#REF!</v>
      </c>
      <c r="K29" s="583" t="e">
        <f t="shared" si="16"/>
        <v>#REF!</v>
      </c>
      <c r="L29" s="583" t="e">
        <f t="shared" si="16"/>
        <v>#REF!</v>
      </c>
      <c r="M29" s="583" t="e">
        <f t="shared" si="16"/>
        <v>#REF!</v>
      </c>
      <c r="N29" s="583"/>
      <c r="O29" s="583" t="e">
        <f t="shared" ref="O29:X29" si="18">O94</f>
        <v>#REF!</v>
      </c>
      <c r="P29" s="583" t="e">
        <f t="shared" si="18"/>
        <v>#REF!</v>
      </c>
      <c r="Q29" s="583" t="e">
        <f t="shared" si="18"/>
        <v>#REF!</v>
      </c>
      <c r="R29" s="583" t="e">
        <f t="shared" si="18"/>
        <v>#REF!</v>
      </c>
      <c r="S29" s="583" t="e">
        <f t="shared" si="18"/>
        <v>#REF!</v>
      </c>
      <c r="T29" s="583" t="e">
        <f t="shared" si="18"/>
        <v>#REF!</v>
      </c>
      <c r="U29" s="583" t="e">
        <f t="shared" si="18"/>
        <v>#REF!</v>
      </c>
      <c r="V29" s="583" t="e">
        <f t="shared" si="18"/>
        <v>#REF!</v>
      </c>
      <c r="W29" s="583" t="e">
        <f t="shared" si="18"/>
        <v>#REF!</v>
      </c>
      <c r="X29" s="583" t="e">
        <f t="shared" si="18"/>
        <v>#REF!</v>
      </c>
      <c r="AD29" s="9"/>
      <c r="AE29" s="9"/>
      <c r="AF29" s="9"/>
      <c r="AG29" s="9"/>
      <c r="AH29" s="9"/>
      <c r="AI29" s="9"/>
      <c r="AJ29" s="9"/>
      <c r="AK29" s="9"/>
      <c r="AL29" s="9"/>
      <c r="AM29" s="9"/>
      <c r="AN29" s="9"/>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row>
    <row r="30" spans="1:81">
      <c r="A30" s="34"/>
      <c r="C30" t="s">
        <v>943</v>
      </c>
      <c r="F30" s="583" t="e">
        <f t="shared" ref="F30:M30" si="19">+F28+F29</f>
        <v>#REF!</v>
      </c>
      <c r="G30" s="583" t="e">
        <f t="shared" si="19"/>
        <v>#REF!</v>
      </c>
      <c r="H30" s="583" t="e">
        <f t="shared" si="19"/>
        <v>#REF!</v>
      </c>
      <c r="I30" s="583" t="e">
        <f t="shared" si="19"/>
        <v>#REF!</v>
      </c>
      <c r="J30" s="583" t="e">
        <f t="shared" si="19"/>
        <v>#REF!</v>
      </c>
      <c r="K30" s="583" t="e">
        <f t="shared" si="19"/>
        <v>#REF!</v>
      </c>
      <c r="L30" s="583" t="e">
        <f t="shared" si="19"/>
        <v>#REF!</v>
      </c>
      <c r="M30" s="583" t="e">
        <f t="shared" si="19"/>
        <v>#REF!</v>
      </c>
      <c r="N30" s="583"/>
      <c r="O30" s="583" t="e">
        <f t="shared" ref="O30:X30" si="20">+O28+O29</f>
        <v>#REF!</v>
      </c>
      <c r="P30" s="583" t="e">
        <f t="shared" si="20"/>
        <v>#REF!</v>
      </c>
      <c r="Q30" s="583" t="e">
        <f t="shared" si="20"/>
        <v>#REF!</v>
      </c>
      <c r="R30" s="583" t="e">
        <f t="shared" si="20"/>
        <v>#REF!</v>
      </c>
      <c r="S30" s="583" t="e">
        <f t="shared" si="20"/>
        <v>#REF!</v>
      </c>
      <c r="T30" s="583" t="e">
        <f t="shared" si="20"/>
        <v>#REF!</v>
      </c>
      <c r="U30" s="583" t="e">
        <f t="shared" si="20"/>
        <v>#REF!</v>
      </c>
      <c r="V30" s="583" t="e">
        <f t="shared" si="20"/>
        <v>#REF!</v>
      </c>
      <c r="W30" s="583" t="e">
        <f t="shared" si="20"/>
        <v>#REF!</v>
      </c>
      <c r="X30" s="583" t="e">
        <f t="shared" si="20"/>
        <v>#REF!</v>
      </c>
      <c r="AD30" s="9"/>
      <c r="AE30" s="9"/>
      <c r="AF30" s="9"/>
      <c r="AG30" s="9"/>
      <c r="AH30" s="9"/>
      <c r="AI30" s="9"/>
      <c r="AJ30" s="9"/>
      <c r="AK30" s="9"/>
      <c r="AL30" s="9"/>
      <c r="AM30" s="9"/>
      <c r="AN30" s="9"/>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row>
    <row r="31" spans="1:81">
      <c r="A31" s="34">
        <v>1620</v>
      </c>
      <c r="C31" t="s">
        <v>164</v>
      </c>
      <c r="F31" s="584" t="e">
        <f t="shared" ref="F31:M31" si="21">F27+F30</f>
        <v>#REF!</v>
      </c>
      <c r="G31" s="584" t="e">
        <f t="shared" si="21"/>
        <v>#REF!</v>
      </c>
      <c r="H31" s="584" t="e">
        <f t="shared" si="21"/>
        <v>#REF!</v>
      </c>
      <c r="I31" s="584" t="e">
        <f t="shared" si="21"/>
        <v>#REF!</v>
      </c>
      <c r="J31" s="584" t="e">
        <f t="shared" si="21"/>
        <v>#REF!</v>
      </c>
      <c r="K31" s="584" t="e">
        <f t="shared" si="21"/>
        <v>#REF!</v>
      </c>
      <c r="L31" s="584" t="e">
        <f t="shared" si="21"/>
        <v>#REF!</v>
      </c>
      <c r="M31" s="584" t="e">
        <f t="shared" si="21"/>
        <v>#REF!</v>
      </c>
      <c r="N31" s="584"/>
      <c r="O31" s="584" t="e">
        <f t="shared" ref="O31:X31" si="22">O27+O30</f>
        <v>#REF!</v>
      </c>
      <c r="P31" s="584" t="e">
        <f t="shared" si="22"/>
        <v>#REF!</v>
      </c>
      <c r="Q31" s="584" t="e">
        <f t="shared" si="22"/>
        <v>#REF!</v>
      </c>
      <c r="R31" s="584" t="e">
        <f t="shared" si="22"/>
        <v>#REF!</v>
      </c>
      <c r="S31" s="584" t="e">
        <f t="shared" si="22"/>
        <v>#REF!</v>
      </c>
      <c r="T31" s="584" t="e">
        <f t="shared" si="22"/>
        <v>#REF!</v>
      </c>
      <c r="U31" s="584" t="e">
        <f t="shared" si="22"/>
        <v>#REF!</v>
      </c>
      <c r="V31" s="584" t="e">
        <f t="shared" si="22"/>
        <v>#REF!</v>
      </c>
      <c r="W31" s="584" t="e">
        <f t="shared" si="22"/>
        <v>#REF!</v>
      </c>
      <c r="X31" s="584" t="e">
        <f t="shared" si="22"/>
        <v>#REF!</v>
      </c>
      <c r="AD31" s="9"/>
      <c r="AE31" s="9"/>
      <c r="AF31" s="9"/>
      <c r="AG31" s="9"/>
      <c r="AH31" s="9"/>
      <c r="AI31" s="9"/>
      <c r="AJ31" s="9"/>
      <c r="AK31" s="9"/>
      <c r="AL31" s="9"/>
      <c r="AM31" s="9"/>
      <c r="AN31" s="9"/>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row>
    <row r="32" spans="1:81" ht="13.5" thickBot="1">
      <c r="A32" s="34"/>
      <c r="C32" s="1" t="s">
        <v>165</v>
      </c>
      <c r="D32" s="1"/>
      <c r="F32" s="591" t="e">
        <f t="shared" ref="F32:M32" si="23">F15+SUM(F16:F22)+F31</f>
        <v>#REF!</v>
      </c>
      <c r="G32" s="591" t="e">
        <f t="shared" si="23"/>
        <v>#REF!</v>
      </c>
      <c r="H32" s="591" t="e">
        <f t="shared" si="23"/>
        <v>#REF!</v>
      </c>
      <c r="I32" s="591" t="e">
        <f t="shared" si="23"/>
        <v>#REF!</v>
      </c>
      <c r="J32" s="591" t="e">
        <f t="shared" si="23"/>
        <v>#REF!</v>
      </c>
      <c r="K32" s="591" t="e">
        <f t="shared" si="23"/>
        <v>#REF!</v>
      </c>
      <c r="L32" s="591" t="e">
        <f t="shared" si="23"/>
        <v>#REF!</v>
      </c>
      <c r="M32" s="591" t="e">
        <f t="shared" si="23"/>
        <v>#REF!</v>
      </c>
      <c r="N32" s="591"/>
      <c r="O32" s="591" t="e">
        <f>O15+SUM(O17:O22)+O31</f>
        <v>#REF!</v>
      </c>
      <c r="P32" s="591" t="e">
        <f>P15+SUM(P17:P22)+P31</f>
        <v>#REF!</v>
      </c>
      <c r="Q32" s="591" t="e">
        <f t="shared" ref="Q32:X32" si="24">Q15+SUM(Q16:Q22)+Q31</f>
        <v>#REF!</v>
      </c>
      <c r="R32" s="591" t="e">
        <f t="shared" si="24"/>
        <v>#REF!</v>
      </c>
      <c r="S32" s="591" t="e">
        <f t="shared" si="24"/>
        <v>#REF!</v>
      </c>
      <c r="T32" s="591" t="e">
        <f t="shared" si="24"/>
        <v>#REF!</v>
      </c>
      <c r="U32" s="591" t="e">
        <f t="shared" si="24"/>
        <v>#REF!</v>
      </c>
      <c r="V32" s="591" t="e">
        <f t="shared" si="24"/>
        <v>#REF!</v>
      </c>
      <c r="W32" s="591" t="e">
        <f t="shared" si="24"/>
        <v>#REF!</v>
      </c>
      <c r="X32" s="591" t="e">
        <f t="shared" si="24"/>
        <v>#REF!</v>
      </c>
      <c r="AD32" s="9"/>
      <c r="AE32" s="9"/>
      <c r="AF32" s="9"/>
      <c r="AG32" s="9"/>
      <c r="AH32" s="9"/>
      <c r="AI32" s="9"/>
      <c r="AJ32" s="9"/>
      <c r="AK32" s="9"/>
      <c r="AL32" s="9"/>
      <c r="AM32" s="9"/>
      <c r="AN32" s="9"/>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row>
    <row r="33" spans="1:81" ht="13.5" thickTop="1">
      <c r="A33" s="625" t="s">
        <v>20</v>
      </c>
      <c r="B33" s="625"/>
      <c r="C33" s="626"/>
      <c r="D33" s="626"/>
      <c r="E33" s="627"/>
      <c r="F33" s="620">
        <v>1999</v>
      </c>
      <c r="G33" s="620">
        <f t="shared" ref="G33:M33" si="25">F33+1</f>
        <v>2000</v>
      </c>
      <c r="H33" s="620">
        <f t="shared" si="25"/>
        <v>2001</v>
      </c>
      <c r="I33" s="620">
        <f t="shared" si="25"/>
        <v>2002</v>
      </c>
      <c r="J33" s="620">
        <f t="shared" si="25"/>
        <v>2003</v>
      </c>
      <c r="K33" s="620">
        <f t="shared" si="25"/>
        <v>2004</v>
      </c>
      <c r="L33" s="620">
        <f t="shared" si="25"/>
        <v>2005</v>
      </c>
      <c r="M33" s="620">
        <f t="shared" si="25"/>
        <v>2006</v>
      </c>
      <c r="N33" s="620">
        <f t="shared" ref="N33" si="26">M33+1</f>
        <v>2007</v>
      </c>
      <c r="O33" s="620">
        <f t="shared" ref="O33" si="27">N33+1</f>
        <v>2008</v>
      </c>
      <c r="P33" s="620">
        <f t="shared" ref="P33" si="28">O33+1</f>
        <v>2009</v>
      </c>
      <c r="Q33" s="620">
        <f t="shared" ref="Q33" si="29">P33+1</f>
        <v>2010</v>
      </c>
      <c r="R33" s="620">
        <f t="shared" ref="R33" si="30">Q33+1</f>
        <v>2011</v>
      </c>
      <c r="S33" s="620">
        <f t="shared" ref="S33" si="31">R33+1</f>
        <v>2012</v>
      </c>
      <c r="T33" s="620">
        <f t="shared" ref="T33" si="32">S33+1</f>
        <v>2013</v>
      </c>
      <c r="U33" s="620">
        <f t="shared" ref="U33" si="33">T33+1</f>
        <v>2014</v>
      </c>
      <c r="V33" s="620">
        <f t="shared" ref="V33" si="34">U33+1</f>
        <v>2015</v>
      </c>
      <c r="W33" s="620">
        <f t="shared" ref="W33" si="35">V33+1</f>
        <v>2016</v>
      </c>
      <c r="X33" s="620">
        <f t="shared" ref="X33" si="36">W33+1</f>
        <v>2017</v>
      </c>
      <c r="Y33" s="620">
        <f t="shared" ref="Y33" si="37">X33+1</f>
        <v>2018</v>
      </c>
      <c r="Z33" s="620">
        <f t="shared" ref="Z33" si="38">Y33+1</f>
        <v>2019</v>
      </c>
      <c r="AA33" s="620">
        <f t="shared" ref="AA33" si="39">Z33+1</f>
        <v>2020</v>
      </c>
      <c r="AD33" s="9"/>
      <c r="AE33" s="9"/>
      <c r="AF33" s="9"/>
      <c r="AG33" s="9"/>
      <c r="AH33" s="9"/>
      <c r="AI33" s="9"/>
      <c r="AJ33" s="9"/>
      <c r="AK33" s="9"/>
      <c r="AL33" s="9"/>
      <c r="AM33" s="9"/>
      <c r="AN33" s="9"/>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row>
    <row r="34" spans="1:81">
      <c r="A34" s="34">
        <v>2040</v>
      </c>
      <c r="C34" t="s">
        <v>167</v>
      </c>
      <c r="F34" s="583">
        <v>41728</v>
      </c>
      <c r="G34" s="583">
        <v>64139</v>
      </c>
      <c r="H34" s="583">
        <v>102775</v>
      </c>
      <c r="I34" s="583">
        <v>7394</v>
      </c>
      <c r="J34" s="583">
        <v>22807</v>
      </c>
      <c r="K34" s="583">
        <v>38973</v>
      </c>
      <c r="L34" s="583">
        <v>37722</v>
      </c>
      <c r="M34" s="583"/>
      <c r="N34" s="583"/>
      <c r="O34" s="583">
        <v>528900</v>
      </c>
      <c r="P34" s="592">
        <f>134421+6218+4353</f>
        <v>144992</v>
      </c>
      <c r="Q34" s="583">
        <f>11065+155636+4727</f>
        <v>171428</v>
      </c>
      <c r="R34" s="583">
        <f>16629+166937</f>
        <v>183566</v>
      </c>
      <c r="S34" s="583">
        <f>12457+250429</f>
        <v>262886</v>
      </c>
      <c r="T34" s="588" t="e">
        <f>'4_Fin-Stat'!#REF!</f>
        <v>#REF!</v>
      </c>
      <c r="U34" s="588" t="e">
        <f>'4_Fin-Stat'!#REF!</f>
        <v>#REF!</v>
      </c>
      <c r="V34" s="588" t="e">
        <f>'4_Fin-Stat'!#REF!</f>
        <v>#REF!</v>
      </c>
      <c r="W34" s="588" t="e">
        <f>'4_Fin-Stat'!#REF!</f>
        <v>#REF!</v>
      </c>
      <c r="X34" s="588" t="e">
        <f>'4_Fin-Stat'!#REF!</f>
        <v>#REF!</v>
      </c>
      <c r="AD34" s="9"/>
      <c r="AE34" s="9"/>
      <c r="AF34" s="9"/>
      <c r="AG34" s="9"/>
      <c r="AH34" s="9"/>
      <c r="AI34" s="9"/>
      <c r="AJ34" s="9"/>
      <c r="AK34" s="9"/>
      <c r="AL34" s="9"/>
      <c r="AM34" s="9"/>
      <c r="AN34" s="9"/>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row>
    <row r="35" spans="1:81">
      <c r="A35" s="34">
        <v>2100</v>
      </c>
      <c r="C35" t="s">
        <v>168</v>
      </c>
      <c r="F35" s="583">
        <v>1286</v>
      </c>
      <c r="G35" s="583">
        <v>2363</v>
      </c>
      <c r="H35" s="583">
        <v>3050</v>
      </c>
      <c r="I35" s="583">
        <v>2820</v>
      </c>
      <c r="J35" s="583">
        <v>6642</v>
      </c>
      <c r="K35" s="583">
        <v>5067</v>
      </c>
      <c r="L35" s="583">
        <v>6609</v>
      </c>
      <c r="M35" s="583"/>
      <c r="N35" s="583"/>
      <c r="O35" s="583">
        <v>7116</v>
      </c>
      <c r="P35" s="583">
        <v>10595</v>
      </c>
      <c r="Q35" s="583">
        <v>14582</v>
      </c>
      <c r="R35" s="583">
        <v>16018</v>
      </c>
      <c r="S35" s="583">
        <v>7106</v>
      </c>
      <c r="T35" s="588" t="e">
        <f>'4_Fin-Stat'!#REF!</f>
        <v>#REF!</v>
      </c>
      <c r="U35" s="588" t="e">
        <f>'4_Fin-Stat'!#REF!</f>
        <v>#REF!</v>
      </c>
      <c r="V35" s="588" t="e">
        <f>'4_Fin-Stat'!#REF!</f>
        <v>#REF!</v>
      </c>
      <c r="W35" s="588" t="e">
        <f>'4_Fin-Stat'!#REF!</f>
        <v>#REF!</v>
      </c>
      <c r="X35" s="588" t="e">
        <f>'4_Fin-Stat'!#REF!</f>
        <v>#REF!</v>
      </c>
      <c r="AD35" s="9"/>
      <c r="AE35" s="9"/>
      <c r="AF35" s="9"/>
      <c r="AG35" s="9"/>
      <c r="AH35" s="9"/>
      <c r="AI35" s="9"/>
      <c r="AJ35" s="9"/>
      <c r="AK35" s="9"/>
      <c r="AL35" s="9"/>
      <c r="AM35" s="9"/>
      <c r="AN35" s="9"/>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row>
    <row r="36" spans="1:81">
      <c r="A36" s="34">
        <v>2040</v>
      </c>
      <c r="C36" t="s">
        <v>169</v>
      </c>
      <c r="F36" s="583">
        <v>9352</v>
      </c>
      <c r="G36" s="583">
        <v>12420</v>
      </c>
      <c r="H36" s="583">
        <v>3900</v>
      </c>
      <c r="I36" s="583">
        <v>940</v>
      </c>
      <c r="J36" s="583">
        <v>22334</v>
      </c>
      <c r="K36" s="583">
        <v>47167</v>
      </c>
      <c r="L36" s="583">
        <v>57713</v>
      </c>
      <c r="M36" s="583"/>
      <c r="N36" s="583"/>
      <c r="O36" s="583">
        <v>6038</v>
      </c>
      <c r="P36" s="583">
        <v>5163</v>
      </c>
      <c r="Q36" s="583">
        <v>4873</v>
      </c>
      <c r="R36" s="583">
        <v>4140</v>
      </c>
      <c r="S36" s="583">
        <v>5110</v>
      </c>
      <c r="T36" s="588" t="e">
        <f>'4_Fin-Stat'!#REF!</f>
        <v>#REF!</v>
      </c>
      <c r="U36" s="588" t="e">
        <f>'4_Fin-Stat'!#REF!</f>
        <v>#REF!</v>
      </c>
      <c r="V36" s="588" t="e">
        <f>'4_Fin-Stat'!#REF!</f>
        <v>#REF!</v>
      </c>
      <c r="W36" s="588" t="e">
        <f>'4_Fin-Stat'!#REF!</f>
        <v>#REF!</v>
      </c>
      <c r="X36" s="588" t="e">
        <f>'4_Fin-Stat'!#REF!</f>
        <v>#REF!</v>
      </c>
      <c r="AD36" s="9"/>
      <c r="AE36" s="9"/>
      <c r="AF36" s="9"/>
      <c r="AG36" s="9"/>
      <c r="AH36" s="9"/>
      <c r="AI36" s="9"/>
      <c r="AJ36" s="9"/>
      <c r="AK36" s="9"/>
      <c r="AL36" s="9"/>
      <c r="AM36" s="9"/>
      <c r="AN36" s="9"/>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row>
    <row r="37" spans="1:81">
      <c r="A37" s="34">
        <v>2050</v>
      </c>
      <c r="C37" t="s">
        <v>172</v>
      </c>
      <c r="F37" s="583">
        <v>20877</v>
      </c>
      <c r="G37" s="583">
        <v>66726</v>
      </c>
      <c r="H37" s="583">
        <v>148717</v>
      </c>
      <c r="I37" s="583">
        <v>89198</v>
      </c>
      <c r="J37" s="583">
        <v>153040</v>
      </c>
      <c r="K37" s="583">
        <v>166865</v>
      </c>
      <c r="L37" s="583">
        <v>191539</v>
      </c>
      <c r="M37" s="583">
        <v>195221</v>
      </c>
      <c r="N37" s="583"/>
      <c r="O37" s="583"/>
      <c r="P37" s="585"/>
      <c r="Q37" s="583"/>
      <c r="R37" s="583"/>
      <c r="S37" s="583">
        <v>752</v>
      </c>
      <c r="T37" s="588" t="e">
        <f>'4_Fin-Stat'!#REF!</f>
        <v>#REF!</v>
      </c>
      <c r="U37" s="588" t="e">
        <f>'4_Fin-Stat'!#REF!</f>
        <v>#REF!</v>
      </c>
      <c r="V37" s="588" t="e">
        <f>'4_Fin-Stat'!#REF!</f>
        <v>#REF!</v>
      </c>
      <c r="W37" s="588" t="e">
        <f>'4_Fin-Stat'!#REF!</f>
        <v>#REF!</v>
      </c>
      <c r="X37" s="588" t="e">
        <f>'4_Fin-Stat'!#REF!</f>
        <v>#REF!</v>
      </c>
      <c r="AD37" s="9"/>
      <c r="AE37" s="9"/>
      <c r="AF37" s="9"/>
      <c r="AG37" s="9"/>
      <c r="AH37" s="9"/>
      <c r="AI37" s="9"/>
      <c r="AJ37" s="9"/>
      <c r="AK37" s="9"/>
      <c r="AL37" s="9"/>
      <c r="AM37" s="9"/>
      <c r="AN37" s="9"/>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row>
    <row r="38" spans="1:81">
      <c r="A38" s="34">
        <v>2060</v>
      </c>
      <c r="C38" t="s">
        <v>174</v>
      </c>
      <c r="F38" s="583">
        <v>4209</v>
      </c>
      <c r="G38" s="583">
        <v>1788</v>
      </c>
      <c r="H38" s="583">
        <v>5759</v>
      </c>
      <c r="I38" s="583">
        <v>1636</v>
      </c>
      <c r="J38" s="583">
        <v>886</v>
      </c>
      <c r="K38" s="583">
        <v>-3381</v>
      </c>
      <c r="L38" s="583">
        <v>5378</v>
      </c>
      <c r="M38" s="583"/>
      <c r="N38" s="583"/>
      <c r="O38" s="583">
        <v>5510</v>
      </c>
      <c r="P38" s="583">
        <v>9722</v>
      </c>
      <c r="Q38" s="583">
        <v>10731</v>
      </c>
      <c r="R38" s="583">
        <v>13280</v>
      </c>
      <c r="S38" s="583">
        <v>10994</v>
      </c>
      <c r="T38" s="588" t="e">
        <f>'4_Fin-Stat'!#REF!</f>
        <v>#REF!</v>
      </c>
      <c r="U38" s="588" t="e">
        <f>'4_Fin-Stat'!#REF!</f>
        <v>#REF!</v>
      </c>
      <c r="V38" s="588" t="e">
        <f>'4_Fin-Stat'!#REF!</f>
        <v>#REF!</v>
      </c>
      <c r="W38" s="588" t="e">
        <f>'4_Fin-Stat'!#REF!</f>
        <v>#REF!</v>
      </c>
      <c r="X38" s="588" t="e">
        <f>'4_Fin-Stat'!#REF!</f>
        <v>#REF!</v>
      </c>
      <c r="AD38" s="9"/>
      <c r="AE38" s="9"/>
      <c r="AF38" s="9"/>
      <c r="AG38" s="9"/>
      <c r="AH38" s="9"/>
      <c r="AI38" s="9"/>
      <c r="AJ38" s="9"/>
      <c r="AK38" s="9"/>
      <c r="AL38" s="9"/>
      <c r="AM38" s="9"/>
      <c r="AN38" s="9"/>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row>
    <row r="39" spans="1:81">
      <c r="A39" s="34">
        <v>2050</v>
      </c>
      <c r="C39" t="s">
        <v>175</v>
      </c>
      <c r="F39" s="583"/>
      <c r="G39" s="583"/>
      <c r="H39" s="583"/>
      <c r="I39" s="583"/>
      <c r="J39" s="583"/>
      <c r="K39" s="583"/>
      <c r="L39" s="583"/>
      <c r="M39" s="583"/>
      <c r="N39" s="583"/>
      <c r="O39" s="583">
        <f>1940+138</f>
        <v>2078</v>
      </c>
      <c r="P39" s="592">
        <f>1372+194</f>
        <v>1566</v>
      </c>
      <c r="Q39" s="583">
        <f>736+15</f>
        <v>751</v>
      </c>
      <c r="R39" s="583">
        <v>94</v>
      </c>
      <c r="S39" s="583">
        <v>15</v>
      </c>
      <c r="T39" s="588" t="e">
        <f>'4_Fin-Stat'!#REF!</f>
        <v>#REF!</v>
      </c>
      <c r="U39" s="588" t="e">
        <f>'4_Fin-Stat'!#REF!</f>
        <v>#REF!</v>
      </c>
      <c r="V39" s="588" t="e">
        <f>'4_Fin-Stat'!#REF!</f>
        <v>#REF!</v>
      </c>
      <c r="W39" s="588" t="e">
        <f>'4_Fin-Stat'!#REF!</f>
        <v>#REF!</v>
      </c>
      <c r="X39" s="588" t="e">
        <f>'4_Fin-Stat'!#REF!</f>
        <v>#REF!</v>
      </c>
      <c r="AD39" s="9"/>
      <c r="AE39" s="9"/>
      <c r="AF39" s="9"/>
      <c r="AG39" s="9"/>
      <c r="AH39" s="9"/>
      <c r="AI39" s="9"/>
      <c r="AJ39" s="9"/>
      <c r="AK39" s="9"/>
      <c r="AL39" s="9"/>
      <c r="AM39" s="9"/>
      <c r="AN39" s="9"/>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row>
    <row r="40" spans="1:81">
      <c r="A40" s="34">
        <v>2370</v>
      </c>
      <c r="C40" t="s">
        <v>944</v>
      </c>
      <c r="F40" s="583"/>
      <c r="G40" s="583"/>
      <c r="H40" s="583"/>
      <c r="I40" s="583"/>
      <c r="J40" s="583"/>
      <c r="K40" s="583"/>
      <c r="L40" s="583"/>
      <c r="M40" s="583">
        <f>'4_Fin-Stat'!M642</f>
        <v>0</v>
      </c>
      <c r="N40" s="583"/>
      <c r="O40" s="583">
        <f>'4_Fin-Stat'!O655</f>
        <v>0</v>
      </c>
      <c r="P40" s="583">
        <f>'4_Fin-Stat'!P655</f>
        <v>0</v>
      </c>
      <c r="Q40" s="583">
        <f>'4_Fin-Stat'!Q655</f>
        <v>0</v>
      </c>
      <c r="R40" s="583">
        <f>'4_Fin-Stat'!R655</f>
        <v>0</v>
      </c>
      <c r="S40" s="583">
        <f>'4_Fin-Stat'!S655</f>
        <v>0</v>
      </c>
      <c r="T40" s="583">
        <f>'4_Fin-Stat'!T655</f>
        <v>0</v>
      </c>
      <c r="U40" s="583">
        <f>'4_Fin-Stat'!U655</f>
        <v>0</v>
      </c>
      <c r="V40" s="583">
        <f>'4_Fin-Stat'!V655</f>
        <v>0</v>
      </c>
      <c r="W40" s="583">
        <f>'4_Fin-Stat'!W655</f>
        <v>0</v>
      </c>
      <c r="X40" s="583">
        <f>'4_Fin-Stat'!X655</f>
        <v>0</v>
      </c>
      <c r="AD40" s="9"/>
      <c r="AE40" s="9"/>
      <c r="AF40" s="9"/>
      <c r="AG40" s="9"/>
      <c r="AH40" s="9"/>
      <c r="AI40" s="9"/>
      <c r="AJ40" s="9"/>
      <c r="AK40" s="9"/>
      <c r="AL40" s="9"/>
      <c r="AM40" s="9"/>
      <c r="AN40" s="9"/>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row>
    <row r="41" spans="1:81">
      <c r="A41" s="34"/>
      <c r="C41" t="s">
        <v>176</v>
      </c>
      <c r="F41" s="583">
        <v>489</v>
      </c>
      <c r="G41" s="583"/>
      <c r="H41" s="583"/>
      <c r="I41" s="583"/>
      <c r="J41" s="583"/>
      <c r="K41" s="583">
        <v>2545</v>
      </c>
      <c r="L41" s="583">
        <v>2257</v>
      </c>
      <c r="M41" s="583"/>
      <c r="N41" s="583"/>
      <c r="O41" s="583"/>
      <c r="P41" s="583">
        <v>28041</v>
      </c>
      <c r="Q41" s="583">
        <v>31633</v>
      </c>
      <c r="R41" s="583">
        <v>36608</v>
      </c>
      <c r="S41" s="583">
        <v>6000</v>
      </c>
      <c r="T41" s="588" t="e">
        <f>'4_Fin-Stat'!#REF!</f>
        <v>#REF!</v>
      </c>
      <c r="U41" s="588" t="e">
        <f>'4_Fin-Stat'!#REF!</f>
        <v>#REF!</v>
      </c>
      <c r="V41" s="588" t="e">
        <f>'4_Fin-Stat'!#REF!</f>
        <v>#REF!</v>
      </c>
      <c r="W41" s="588" t="e">
        <f>'4_Fin-Stat'!#REF!</f>
        <v>#REF!</v>
      </c>
      <c r="X41" s="588" t="e">
        <f>'4_Fin-Stat'!#REF!</f>
        <v>#REF!</v>
      </c>
      <c r="AD41" s="9"/>
      <c r="AE41" s="9"/>
      <c r="AF41" s="9"/>
      <c r="AG41" s="9"/>
      <c r="AH41" s="9"/>
      <c r="AI41" s="9"/>
      <c r="AJ41" s="9"/>
      <c r="AK41" s="9"/>
      <c r="AL41" s="9"/>
      <c r="AM41" s="9"/>
      <c r="AN41" s="9"/>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row>
    <row r="42" spans="1:81">
      <c r="A42" s="34">
        <v>2090</v>
      </c>
      <c r="C42" t="s">
        <v>178</v>
      </c>
      <c r="F42" s="583">
        <v>99952</v>
      </c>
      <c r="G42" s="583">
        <v>29393</v>
      </c>
      <c r="H42" s="583">
        <v>142479</v>
      </c>
      <c r="I42" s="583"/>
      <c r="J42" s="583"/>
      <c r="K42" s="583"/>
      <c r="L42" s="583"/>
      <c r="M42" s="583"/>
      <c r="N42" s="583"/>
      <c r="O42" s="583"/>
      <c r="P42" s="585"/>
      <c r="Q42" s="583"/>
      <c r="R42" s="583"/>
      <c r="S42" s="583"/>
      <c r="T42" s="588"/>
      <c r="U42" s="588"/>
      <c r="V42" s="588"/>
      <c r="W42" s="588"/>
      <c r="X42" s="588"/>
      <c r="AD42" s="9"/>
      <c r="AE42" s="9"/>
      <c r="AF42" s="9"/>
      <c r="AG42" s="9"/>
      <c r="AH42" s="9"/>
      <c r="AI42" s="9"/>
      <c r="AJ42" s="9"/>
      <c r="AK42" s="9"/>
      <c r="AL42" s="9"/>
      <c r="AM42" s="9"/>
      <c r="AN42" s="9"/>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row>
    <row r="43" spans="1:81">
      <c r="A43" s="34">
        <v>2000</v>
      </c>
      <c r="C43" t="s">
        <v>179</v>
      </c>
      <c r="F43" s="584">
        <v>49500</v>
      </c>
      <c r="G43" s="584">
        <v>23198</v>
      </c>
      <c r="H43" s="584">
        <v>378371</v>
      </c>
      <c r="I43" s="584">
        <v>184731</v>
      </c>
      <c r="J43" s="584">
        <v>723098</v>
      </c>
      <c r="K43" s="584">
        <v>158310</v>
      </c>
      <c r="L43" s="584">
        <v>370141</v>
      </c>
      <c r="M43" s="584"/>
      <c r="N43" s="584"/>
      <c r="O43" s="584">
        <v>149808</v>
      </c>
      <c r="P43" s="584">
        <v>123166</v>
      </c>
      <c r="Q43" s="584">
        <v>284417</v>
      </c>
      <c r="R43" s="584">
        <v>298167</v>
      </c>
      <c r="S43" s="584">
        <v>247919</v>
      </c>
      <c r="T43" s="590" t="e">
        <f>'4_Fin-Stat'!#REF!</f>
        <v>#REF!</v>
      </c>
      <c r="U43" s="590" t="e">
        <f>'4_Fin-Stat'!#REF!</f>
        <v>#REF!</v>
      </c>
      <c r="V43" s="590" t="e">
        <f>'4_Fin-Stat'!#REF!</f>
        <v>#REF!</v>
      </c>
      <c r="W43" s="590" t="e">
        <f>'4_Fin-Stat'!#REF!</f>
        <v>#REF!</v>
      </c>
      <c r="X43" s="590" t="e">
        <f>'4_Fin-Stat'!#REF!</f>
        <v>#REF!</v>
      </c>
      <c r="Y43" s="4"/>
      <c r="Z43" s="4"/>
      <c r="AA43" s="4"/>
      <c r="AD43" s="9"/>
      <c r="AE43" s="9"/>
      <c r="AF43" s="9"/>
      <c r="AG43" s="9"/>
      <c r="AH43" s="9"/>
      <c r="AI43" s="9"/>
      <c r="AJ43" s="9"/>
      <c r="AK43" s="9"/>
      <c r="AL43" s="9"/>
      <c r="AM43" s="9"/>
      <c r="AN43" s="9"/>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row>
    <row r="44" spans="1:81">
      <c r="A44" s="34"/>
      <c r="F44" s="583">
        <f t="shared" ref="F44:M44" si="40">SUM(F34:F43)</f>
        <v>227393</v>
      </c>
      <c r="G44" s="583">
        <f t="shared" si="40"/>
        <v>200027</v>
      </c>
      <c r="H44" s="583">
        <f t="shared" si="40"/>
        <v>785051</v>
      </c>
      <c r="I44" s="583">
        <f t="shared" si="40"/>
        <v>286719</v>
      </c>
      <c r="J44" s="583">
        <f t="shared" si="40"/>
        <v>928807</v>
      </c>
      <c r="K44" s="583">
        <f t="shared" si="40"/>
        <v>415546</v>
      </c>
      <c r="L44" s="583">
        <f t="shared" si="40"/>
        <v>671359</v>
      </c>
      <c r="M44" s="583">
        <f t="shared" si="40"/>
        <v>195221</v>
      </c>
      <c r="N44" s="583"/>
      <c r="O44" s="583">
        <f t="shared" ref="O44:X44" si="41">SUM(O34:O43)</f>
        <v>699450</v>
      </c>
      <c r="P44" s="583">
        <f t="shared" si="41"/>
        <v>323245</v>
      </c>
      <c r="Q44" s="583">
        <f t="shared" si="41"/>
        <v>518415</v>
      </c>
      <c r="R44" s="583">
        <f t="shared" si="41"/>
        <v>551873</v>
      </c>
      <c r="S44" s="583">
        <f t="shared" si="41"/>
        <v>540782</v>
      </c>
      <c r="T44" s="583" t="e">
        <f t="shared" si="41"/>
        <v>#REF!</v>
      </c>
      <c r="U44" s="583" t="e">
        <f t="shared" si="41"/>
        <v>#REF!</v>
      </c>
      <c r="V44" s="583" t="e">
        <f t="shared" si="41"/>
        <v>#REF!</v>
      </c>
      <c r="W44" s="583" t="e">
        <f t="shared" si="41"/>
        <v>#REF!</v>
      </c>
      <c r="X44" s="583" t="e">
        <f t="shared" si="41"/>
        <v>#REF!</v>
      </c>
      <c r="AD44" s="9"/>
      <c r="AE44" s="9"/>
      <c r="AF44" s="9"/>
      <c r="AG44" s="9"/>
      <c r="AH44" s="9"/>
      <c r="AI44" s="9"/>
      <c r="AJ44" s="9"/>
      <c r="AK44" s="9"/>
      <c r="AL44" s="9"/>
      <c r="AM44" s="9"/>
      <c r="AN44" s="9"/>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row>
    <row r="45" spans="1:81">
      <c r="A45" s="34">
        <v>2710</v>
      </c>
      <c r="C45" t="s">
        <v>326</v>
      </c>
      <c r="F45" s="583" t="e">
        <f>+'4_Fin-Stat'!#REF!</f>
        <v>#REF!</v>
      </c>
      <c r="G45" s="583" t="e">
        <f>+'4_Fin-Stat'!#REF!</f>
        <v>#REF!</v>
      </c>
      <c r="H45" s="583" t="e">
        <f>+'4_Fin-Stat'!#REF!</f>
        <v>#REF!</v>
      </c>
      <c r="I45" s="583" t="e">
        <f>+'4_Fin-Stat'!#REF!</f>
        <v>#REF!</v>
      </c>
      <c r="J45" s="583" t="e">
        <f>+'4_Fin-Stat'!#REF!</f>
        <v>#REF!</v>
      </c>
      <c r="K45" s="583" t="e">
        <f>+'4_Fin-Stat'!#REF!</f>
        <v>#REF!</v>
      </c>
      <c r="L45" s="583" t="e">
        <f>+'4_Fin-Stat'!#REF!</f>
        <v>#REF!</v>
      </c>
      <c r="M45" s="583" t="e">
        <f>+'4_Fin-Stat'!#REF!</f>
        <v>#REF!</v>
      </c>
      <c r="N45" s="583"/>
      <c r="O45" s="583" t="e">
        <f>+'4_Fin-Stat'!#REF!</f>
        <v>#REF!</v>
      </c>
      <c r="P45" s="583" t="e">
        <f>+'4_Fin-Stat'!#REF!</f>
        <v>#REF!</v>
      </c>
      <c r="Q45" s="583" t="e">
        <f>+'4_Fin-Stat'!#REF!</f>
        <v>#REF!</v>
      </c>
      <c r="R45" s="583" t="e">
        <f>+'4_Fin-Stat'!#REF!</f>
        <v>#REF!</v>
      </c>
      <c r="S45" s="583" t="e">
        <f>+'4_Fin-Stat'!#REF!</f>
        <v>#REF!</v>
      </c>
      <c r="T45" s="583" t="e">
        <f>+'4_Fin-Stat'!#REF!</f>
        <v>#REF!</v>
      </c>
      <c r="U45" s="583" t="e">
        <f>+'4_Fin-Stat'!#REF!</f>
        <v>#REF!</v>
      </c>
      <c r="V45" s="583" t="e">
        <f>+'4_Fin-Stat'!#REF!</f>
        <v>#REF!</v>
      </c>
      <c r="W45" s="583" t="e">
        <f>+'4_Fin-Stat'!#REF!</f>
        <v>#REF!</v>
      </c>
      <c r="X45" s="583" t="e">
        <f>+'4_Fin-Stat'!#REF!</f>
        <v>#REF!</v>
      </c>
      <c r="AD45" s="9"/>
      <c r="AE45" s="9"/>
      <c r="AF45" s="9"/>
      <c r="AG45" s="9"/>
      <c r="AH45" s="9"/>
      <c r="AI45" s="9"/>
      <c r="AJ45" s="9"/>
      <c r="AK45" s="9"/>
      <c r="AL45" s="9"/>
      <c r="AM45" s="9"/>
      <c r="AN45" s="9"/>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row>
    <row r="46" spans="1:81">
      <c r="A46" s="34">
        <v>2710</v>
      </c>
      <c r="C46" t="s">
        <v>945</v>
      </c>
      <c r="F46" s="583">
        <f>'4_Fin-Stat'!F573</f>
        <v>0</v>
      </c>
      <c r="G46" s="583">
        <f>'4_Fin-Stat'!G573</f>
        <v>0</v>
      </c>
      <c r="H46" s="583">
        <f>'4_Fin-Stat'!H573</f>
        <v>0</v>
      </c>
      <c r="I46" s="583">
        <f>'4_Fin-Stat'!I573</f>
        <v>0</v>
      </c>
      <c r="J46" s="583">
        <f>'4_Fin-Stat'!J573</f>
        <v>0</v>
      </c>
      <c r="K46" s="583">
        <f>'4_Fin-Stat'!K573</f>
        <v>0</v>
      </c>
      <c r="L46" s="583">
        <f>'4_Fin-Stat'!L573</f>
        <v>0</v>
      </c>
      <c r="M46" s="583">
        <f>'4_Fin-Stat'!M573</f>
        <v>0</v>
      </c>
      <c r="N46" s="583"/>
      <c r="O46" s="583">
        <f>'4_Fin-Stat'!O573</f>
        <v>0</v>
      </c>
      <c r="P46" s="583">
        <f>'4_Fin-Stat'!P573</f>
        <v>0</v>
      </c>
      <c r="Q46" s="583">
        <f>'4_Fin-Stat'!Q573</f>
        <v>0</v>
      </c>
      <c r="R46" s="583">
        <f>'4_Fin-Stat'!R573</f>
        <v>0</v>
      </c>
      <c r="S46" s="583">
        <f>'4_Fin-Stat'!S573</f>
        <v>0</v>
      </c>
      <c r="T46" s="583">
        <f>'4_Fin-Stat'!T573</f>
        <v>0</v>
      </c>
      <c r="U46" s="583">
        <f>'4_Fin-Stat'!U573</f>
        <v>0</v>
      </c>
      <c r="V46" s="583">
        <f>'4_Fin-Stat'!V573</f>
        <v>0</v>
      </c>
      <c r="W46" s="583">
        <f>'4_Fin-Stat'!W573</f>
        <v>0</v>
      </c>
      <c r="X46" s="583">
        <f>'4_Fin-Stat'!X573</f>
        <v>0</v>
      </c>
      <c r="AD46" s="9"/>
      <c r="AE46" s="9"/>
      <c r="AF46" s="9"/>
      <c r="AG46" s="9"/>
      <c r="AH46" s="9"/>
      <c r="AI46" s="9"/>
      <c r="AJ46" s="9"/>
      <c r="AK46" s="9"/>
      <c r="AL46" s="9"/>
      <c r="AM46" s="9"/>
      <c r="AN46" s="9"/>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row>
    <row r="47" spans="1:81">
      <c r="A47" s="34">
        <v>2710</v>
      </c>
      <c r="C47" t="s">
        <v>946</v>
      </c>
      <c r="F47" s="583"/>
      <c r="G47" s="583"/>
      <c r="H47" s="583"/>
      <c r="I47" s="583"/>
      <c r="J47" s="583"/>
      <c r="K47" s="583"/>
      <c r="L47" s="583"/>
      <c r="M47" s="583"/>
      <c r="N47" s="583"/>
      <c r="O47" s="583" t="e">
        <f>#REF!</f>
        <v>#REF!</v>
      </c>
      <c r="P47" s="583" t="e">
        <f t="shared" ref="P47:X47" si="42">O47</f>
        <v>#REF!</v>
      </c>
      <c r="Q47" s="583" t="e">
        <f t="shared" si="42"/>
        <v>#REF!</v>
      </c>
      <c r="R47" s="583" t="e">
        <f t="shared" si="42"/>
        <v>#REF!</v>
      </c>
      <c r="S47" s="583" t="e">
        <f t="shared" si="42"/>
        <v>#REF!</v>
      </c>
      <c r="T47" s="583" t="e">
        <f t="shared" si="42"/>
        <v>#REF!</v>
      </c>
      <c r="U47" s="583" t="e">
        <f t="shared" si="42"/>
        <v>#REF!</v>
      </c>
      <c r="V47" s="583" t="e">
        <f t="shared" si="42"/>
        <v>#REF!</v>
      </c>
      <c r="W47" s="583" t="e">
        <f t="shared" si="42"/>
        <v>#REF!</v>
      </c>
      <c r="X47" s="583" t="e">
        <f t="shared" si="42"/>
        <v>#REF!</v>
      </c>
      <c r="AD47" s="9"/>
      <c r="AE47" s="9"/>
      <c r="AF47" s="9"/>
      <c r="AG47" s="9"/>
      <c r="AH47" s="9"/>
      <c r="AI47" s="9"/>
      <c r="AJ47" s="9"/>
      <c r="AK47" s="9"/>
      <c r="AL47" s="9"/>
      <c r="AM47" s="9"/>
      <c r="AN47" s="9"/>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row>
    <row r="48" spans="1:81">
      <c r="A48" s="34">
        <v>2710</v>
      </c>
      <c r="C48" t="s">
        <v>947</v>
      </c>
      <c r="F48" s="583"/>
      <c r="G48" s="583"/>
      <c r="H48" s="583"/>
      <c r="I48" s="583"/>
      <c r="J48" s="583"/>
      <c r="K48" s="583"/>
      <c r="L48" s="583"/>
      <c r="M48" s="583"/>
      <c r="N48" s="583"/>
      <c r="O48" s="583"/>
      <c r="P48" s="583"/>
      <c r="Q48" s="583">
        <f>-'4_Fin-Stat'!Q510</f>
        <v>0</v>
      </c>
      <c r="R48" s="583">
        <f t="shared" ref="R48:X48" si="43">Q48</f>
        <v>0</v>
      </c>
      <c r="S48" s="583">
        <f t="shared" si="43"/>
        <v>0</v>
      </c>
      <c r="T48" s="583">
        <f t="shared" si="43"/>
        <v>0</v>
      </c>
      <c r="U48" s="583">
        <f t="shared" si="43"/>
        <v>0</v>
      </c>
      <c r="V48" s="583">
        <f t="shared" si="43"/>
        <v>0</v>
      </c>
      <c r="W48" s="583">
        <f t="shared" si="43"/>
        <v>0</v>
      </c>
      <c r="X48" s="583">
        <f t="shared" si="43"/>
        <v>0</v>
      </c>
      <c r="AD48" s="9"/>
      <c r="AE48" s="9"/>
      <c r="AF48" s="9"/>
      <c r="AG48" s="9"/>
      <c r="AH48" s="9"/>
      <c r="AI48" s="9"/>
      <c r="AJ48" s="9"/>
      <c r="AK48" s="9"/>
      <c r="AL48" s="9"/>
      <c r="AM48" s="9"/>
      <c r="AN48" s="9"/>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row>
    <row r="49" spans="1:81">
      <c r="A49" s="34">
        <v>2710</v>
      </c>
      <c r="C49" t="s">
        <v>948</v>
      </c>
      <c r="F49" s="583"/>
      <c r="G49" s="583"/>
      <c r="H49" s="583"/>
      <c r="I49" s="583"/>
      <c r="J49" s="583"/>
      <c r="K49" s="583"/>
      <c r="L49" s="583"/>
      <c r="M49" s="583"/>
      <c r="N49" s="583"/>
      <c r="O49" s="583"/>
      <c r="P49" s="583"/>
      <c r="Q49" s="583"/>
      <c r="R49" s="583">
        <f>-'4_Fin-Stat'!R510</f>
        <v>0</v>
      </c>
      <c r="S49" s="583">
        <f t="shared" ref="S49:X49" si="44">R49</f>
        <v>0</v>
      </c>
      <c r="T49" s="583">
        <f t="shared" si="44"/>
        <v>0</v>
      </c>
      <c r="U49" s="583">
        <f t="shared" si="44"/>
        <v>0</v>
      </c>
      <c r="V49" s="583">
        <f t="shared" si="44"/>
        <v>0</v>
      </c>
      <c r="W49" s="583">
        <f t="shared" si="44"/>
        <v>0</v>
      </c>
      <c r="X49" s="583">
        <f t="shared" si="44"/>
        <v>0</v>
      </c>
      <c r="AD49" s="9"/>
      <c r="AE49" s="9"/>
      <c r="AF49" s="9"/>
      <c r="AG49" s="9"/>
      <c r="AH49" s="9"/>
      <c r="AI49" s="9"/>
      <c r="AJ49" s="9"/>
      <c r="AK49" s="9"/>
      <c r="AL49" s="9"/>
      <c r="AM49" s="9"/>
      <c r="AN49" s="9"/>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row>
    <row r="50" spans="1:81">
      <c r="A50" s="34"/>
      <c r="C50" t="s">
        <v>1070</v>
      </c>
      <c r="F50" s="583"/>
      <c r="G50" s="583"/>
      <c r="H50" s="583"/>
      <c r="I50" s="583"/>
      <c r="J50" s="583"/>
      <c r="K50" s="583"/>
      <c r="L50" s="583"/>
      <c r="M50" s="583"/>
      <c r="N50" s="583"/>
      <c r="O50" s="583"/>
      <c r="P50" s="583"/>
      <c r="Q50" s="583"/>
      <c r="R50" s="583"/>
      <c r="S50" s="583">
        <f>-'4_Fin-Stat'!S510</f>
        <v>0</v>
      </c>
      <c r="T50" s="583">
        <f>S50</f>
        <v>0</v>
      </c>
      <c r="U50" s="583">
        <f>T50</f>
        <v>0</v>
      </c>
      <c r="V50" s="583">
        <f>U50</f>
        <v>0</v>
      </c>
      <c r="W50" s="583">
        <f>V50</f>
        <v>0</v>
      </c>
      <c r="X50" s="583">
        <f>W50</f>
        <v>0</v>
      </c>
      <c r="AD50" s="9"/>
      <c r="AE50" s="9"/>
      <c r="AF50" s="9"/>
      <c r="AG50" s="9"/>
      <c r="AH50" s="9"/>
      <c r="AI50" s="9"/>
      <c r="AJ50" s="9"/>
      <c r="AK50" s="9"/>
      <c r="AL50" s="9"/>
      <c r="AM50" s="9"/>
      <c r="AN50" s="9"/>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row>
    <row r="51" spans="1:81">
      <c r="A51" s="34"/>
      <c r="C51" t="s">
        <v>1071</v>
      </c>
      <c r="F51" s="583"/>
      <c r="G51" s="583"/>
      <c r="H51" s="583"/>
      <c r="I51" s="583"/>
      <c r="J51" s="583"/>
      <c r="K51" s="583"/>
      <c r="L51" s="583"/>
      <c r="M51" s="583"/>
      <c r="N51" s="583"/>
      <c r="O51" s="583"/>
      <c r="P51" s="583"/>
      <c r="Q51" s="583"/>
      <c r="R51" s="583"/>
      <c r="S51" s="583"/>
      <c r="T51" s="583">
        <f>-'4_Fin-Stat'!T510</f>
        <v>0</v>
      </c>
      <c r="U51" s="583">
        <f>-'4_Fin-Stat'!U510</f>
        <v>0</v>
      </c>
      <c r="V51" s="583">
        <f>-'4_Fin-Stat'!V510</f>
        <v>0</v>
      </c>
      <c r="W51" s="583">
        <f>-'4_Fin-Stat'!W510</f>
        <v>0</v>
      </c>
      <c r="X51" s="583">
        <f>-'4_Fin-Stat'!X510</f>
        <v>0</v>
      </c>
      <c r="AD51" s="9"/>
      <c r="AE51" s="9"/>
      <c r="AF51" s="9"/>
      <c r="AG51" s="9"/>
      <c r="AH51" s="9"/>
      <c r="AI51" s="9"/>
      <c r="AJ51" s="9"/>
      <c r="AK51" s="9"/>
      <c r="AL51" s="9"/>
      <c r="AM51" s="9"/>
      <c r="AN51" s="9"/>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row>
    <row r="52" spans="1:81">
      <c r="A52" s="34"/>
      <c r="C52" t="s">
        <v>949</v>
      </c>
      <c r="F52" s="583"/>
      <c r="G52" s="583"/>
      <c r="H52" s="583"/>
      <c r="I52" s="583"/>
      <c r="J52" s="583"/>
      <c r="K52" s="583"/>
      <c r="L52" s="583"/>
      <c r="M52" s="583"/>
      <c r="N52" s="583"/>
      <c r="O52" s="583"/>
      <c r="P52" s="583"/>
      <c r="Q52" s="583"/>
      <c r="R52" s="583"/>
      <c r="S52" s="583"/>
      <c r="T52" s="583"/>
      <c r="U52" s="583"/>
      <c r="V52" s="583"/>
      <c r="W52" s="583"/>
      <c r="X52" s="583"/>
      <c r="AD52" s="9"/>
      <c r="AE52" s="9"/>
      <c r="AF52" s="9"/>
      <c r="AG52" s="9"/>
      <c r="AH52" s="9"/>
      <c r="AI52" s="9"/>
      <c r="AJ52" s="9"/>
      <c r="AK52" s="9"/>
      <c r="AL52" s="9"/>
      <c r="AM52" s="9"/>
      <c r="AN52" s="9"/>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row>
    <row r="53" spans="1:81">
      <c r="A53" s="34">
        <v>2710</v>
      </c>
      <c r="C53" t="s">
        <v>327</v>
      </c>
      <c r="F53" s="584"/>
      <c r="G53" s="584"/>
      <c r="H53" s="584"/>
      <c r="I53" s="584"/>
      <c r="J53" s="584"/>
      <c r="K53" s="584"/>
      <c r="L53" s="584"/>
      <c r="M53" s="584">
        <f>'4_Fin-Stat'!M496</f>
        <v>1500261</v>
      </c>
      <c r="N53" s="584"/>
      <c r="O53" s="584"/>
      <c r="P53" s="584"/>
      <c r="Q53" s="584">
        <f>'4_Fin-Stat'!Q514</f>
        <v>564281</v>
      </c>
      <c r="R53" s="584">
        <f>'4_Fin-Stat'!R514</f>
        <v>0</v>
      </c>
      <c r="S53" s="584">
        <f>'4_Fin-Stat'!S514</f>
        <v>0</v>
      </c>
      <c r="T53" s="584">
        <f>'4_Fin-Stat'!T514</f>
        <v>0</v>
      </c>
      <c r="U53" s="584">
        <f>'4_Fin-Stat'!U514</f>
        <v>0</v>
      </c>
      <c r="V53" s="584">
        <f>'4_Fin-Stat'!V514</f>
        <v>0</v>
      </c>
      <c r="W53" s="584">
        <f>'4_Fin-Stat'!W514</f>
        <v>0</v>
      </c>
      <c r="X53" s="584">
        <f>'4_Fin-Stat'!X514</f>
        <v>0</v>
      </c>
      <c r="Y53" s="4"/>
      <c r="Z53" s="4"/>
      <c r="AA53" s="4"/>
      <c r="AD53" s="9"/>
      <c r="AE53" s="9"/>
      <c r="AF53" s="9"/>
      <c r="AG53" s="9"/>
      <c r="AH53" s="9"/>
      <c r="AI53" s="9"/>
      <c r="AJ53" s="9"/>
      <c r="AK53" s="9"/>
      <c r="AL53" s="9"/>
      <c r="AM53" s="9"/>
      <c r="AN53" s="9"/>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row>
    <row r="54" spans="1:81">
      <c r="A54" s="34"/>
      <c r="E54" t="s">
        <v>128</v>
      </c>
      <c r="F54" s="583" t="e">
        <f t="shared" ref="F54:M54" si="45">SUM(F45:F53)</f>
        <v>#REF!</v>
      </c>
      <c r="G54" s="583" t="e">
        <f t="shared" si="45"/>
        <v>#REF!</v>
      </c>
      <c r="H54" s="583" t="e">
        <f t="shared" si="45"/>
        <v>#REF!</v>
      </c>
      <c r="I54" s="583" t="e">
        <f t="shared" si="45"/>
        <v>#REF!</v>
      </c>
      <c r="J54" s="583" t="e">
        <f t="shared" si="45"/>
        <v>#REF!</v>
      </c>
      <c r="K54" s="583" t="e">
        <f t="shared" si="45"/>
        <v>#REF!</v>
      </c>
      <c r="L54" s="583" t="e">
        <f t="shared" si="45"/>
        <v>#REF!</v>
      </c>
      <c r="M54" s="583" t="e">
        <f t="shared" si="45"/>
        <v>#REF!</v>
      </c>
      <c r="N54" s="583"/>
      <c r="O54" s="583" t="e">
        <f t="shared" ref="O54:X54" si="46">SUM(O45:O53)</f>
        <v>#REF!</v>
      </c>
      <c r="P54" s="583" t="e">
        <f t="shared" si="46"/>
        <v>#REF!</v>
      </c>
      <c r="Q54" s="583" t="e">
        <f t="shared" si="46"/>
        <v>#REF!</v>
      </c>
      <c r="R54" s="583" t="e">
        <f t="shared" si="46"/>
        <v>#REF!</v>
      </c>
      <c r="S54" s="583" t="e">
        <f t="shared" si="46"/>
        <v>#REF!</v>
      </c>
      <c r="T54" s="583" t="e">
        <f t="shared" si="46"/>
        <v>#REF!</v>
      </c>
      <c r="U54" s="583" t="e">
        <f t="shared" si="46"/>
        <v>#REF!</v>
      </c>
      <c r="V54" s="583" t="e">
        <f t="shared" si="46"/>
        <v>#REF!</v>
      </c>
      <c r="W54" s="583" t="e">
        <f t="shared" si="46"/>
        <v>#REF!</v>
      </c>
      <c r="X54" s="583" t="e">
        <f t="shared" si="46"/>
        <v>#REF!</v>
      </c>
      <c r="AD54" s="9"/>
      <c r="AE54" s="9"/>
      <c r="AF54" s="9"/>
      <c r="AG54" s="9"/>
      <c r="AH54" s="9"/>
      <c r="AI54" s="9"/>
      <c r="AJ54" s="9"/>
      <c r="AK54" s="9"/>
      <c r="AL54" s="9"/>
      <c r="AM54" s="9"/>
      <c r="AN54" s="9"/>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row>
    <row r="55" spans="1:81">
      <c r="A55" s="34"/>
      <c r="C55" t="s">
        <v>200</v>
      </c>
      <c r="F55" s="583"/>
      <c r="G55" s="583"/>
      <c r="H55" s="583"/>
      <c r="I55" s="583"/>
      <c r="J55" s="583"/>
      <c r="K55" s="583"/>
      <c r="L55" s="583"/>
      <c r="M55" s="583"/>
      <c r="N55" s="583"/>
      <c r="O55" s="583"/>
      <c r="P55" s="592"/>
      <c r="Q55" s="583"/>
      <c r="R55" s="583"/>
      <c r="S55" s="583"/>
      <c r="T55" s="588"/>
      <c r="U55" s="588"/>
      <c r="V55" s="588"/>
      <c r="W55" s="588"/>
      <c r="X55" s="588"/>
      <c r="AD55" s="9"/>
      <c r="AE55" s="9"/>
      <c r="AF55" s="9"/>
      <c r="AG55" s="9"/>
      <c r="AH55" s="9"/>
      <c r="AI55" s="9"/>
      <c r="AJ55" s="9"/>
      <c r="AK55" s="9"/>
      <c r="AL55" s="9"/>
      <c r="AM55" s="9"/>
      <c r="AN55" s="9"/>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row>
    <row r="56" spans="1:81">
      <c r="A56" s="34">
        <v>2680</v>
      </c>
      <c r="C56" t="s">
        <v>180</v>
      </c>
      <c r="F56" s="583"/>
      <c r="G56" s="583"/>
      <c r="H56" s="583"/>
      <c r="I56" s="583"/>
      <c r="J56" s="583"/>
      <c r="K56" s="583"/>
      <c r="L56" s="583"/>
      <c r="M56" s="583"/>
      <c r="N56" s="583"/>
      <c r="O56" s="583"/>
      <c r="P56" s="592"/>
      <c r="Q56" s="583">
        <v>52954</v>
      </c>
      <c r="R56" s="583">
        <v>35564</v>
      </c>
      <c r="S56" s="583">
        <v>22755</v>
      </c>
      <c r="T56" s="588" t="e">
        <f>'4_Fin-Stat'!#REF!</f>
        <v>#REF!</v>
      </c>
      <c r="U56" s="588" t="e">
        <f>'4_Fin-Stat'!#REF!</f>
        <v>#REF!</v>
      </c>
      <c r="V56" s="588" t="e">
        <f>'4_Fin-Stat'!#REF!</f>
        <v>#REF!</v>
      </c>
      <c r="W56" s="588" t="e">
        <f>'4_Fin-Stat'!#REF!</f>
        <v>#REF!</v>
      </c>
      <c r="X56" s="588" t="e">
        <f>'4_Fin-Stat'!#REF!</f>
        <v>#REF!</v>
      </c>
      <c r="AD56" s="9"/>
      <c r="AE56" s="9"/>
      <c r="AF56" s="9"/>
      <c r="AG56" s="9"/>
      <c r="AH56" s="9"/>
      <c r="AI56" s="9"/>
      <c r="AJ56" s="9"/>
      <c r="AK56" s="9"/>
      <c r="AL56" s="9"/>
      <c r="AM56" s="9"/>
      <c r="AN56" s="9"/>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row>
    <row r="57" spans="1:81">
      <c r="A57" s="34">
        <v>2300</v>
      </c>
      <c r="C57" t="s">
        <v>182</v>
      </c>
      <c r="F57" s="584">
        <v>477911</v>
      </c>
      <c r="G57" s="584">
        <v>464554</v>
      </c>
      <c r="H57" s="584">
        <v>180444</v>
      </c>
      <c r="I57" s="584">
        <v>591498</v>
      </c>
      <c r="J57" s="584">
        <f>653178+6245</f>
        <v>659423</v>
      </c>
      <c r="K57" s="584">
        <f>1176566+6576</f>
        <v>1183142</v>
      </c>
      <c r="L57" s="584">
        <f>1021825+7193</f>
        <v>1029018</v>
      </c>
      <c r="M57" s="584">
        <v>760194</v>
      </c>
      <c r="N57" s="584"/>
      <c r="O57" s="584">
        <v>793226</v>
      </c>
      <c r="P57" s="584">
        <v>1128695</v>
      </c>
      <c r="Q57" s="584">
        <v>1323058</v>
      </c>
      <c r="R57" s="584">
        <v>1275379</v>
      </c>
      <c r="S57" s="584">
        <v>1577742</v>
      </c>
      <c r="T57" s="590" t="e">
        <f>'4_Fin-Stat'!#REF!</f>
        <v>#REF!</v>
      </c>
      <c r="U57" s="590" t="e">
        <f>'4_Fin-Stat'!#REF!</f>
        <v>#REF!</v>
      </c>
      <c r="V57" s="590" t="e">
        <f>'4_Fin-Stat'!#REF!</f>
        <v>#REF!</v>
      </c>
      <c r="W57" s="590" t="e">
        <f>'4_Fin-Stat'!#REF!</f>
        <v>#REF!</v>
      </c>
      <c r="X57" s="590" t="e">
        <f>'4_Fin-Stat'!#REF!</f>
        <v>#REF!</v>
      </c>
      <c r="Y57" s="4"/>
      <c r="Z57" s="4"/>
      <c r="AA57" s="4"/>
      <c r="AD57" s="9"/>
      <c r="AE57" s="9"/>
      <c r="AF57" s="9"/>
      <c r="AG57" s="9"/>
      <c r="AH57" s="9"/>
      <c r="AI57" s="9"/>
      <c r="AJ57" s="9"/>
      <c r="AK57" s="9"/>
      <c r="AL57" s="9"/>
      <c r="AM57" s="9"/>
      <c r="AN57" s="9"/>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row>
    <row r="58" spans="1:81">
      <c r="A58" s="34"/>
      <c r="F58" s="583" t="e">
        <f t="shared" ref="F58:M58" si="47">SUM(F54:F57)</f>
        <v>#REF!</v>
      </c>
      <c r="G58" s="583" t="e">
        <f t="shared" si="47"/>
        <v>#REF!</v>
      </c>
      <c r="H58" s="583" t="e">
        <f t="shared" si="47"/>
        <v>#REF!</v>
      </c>
      <c r="I58" s="583" t="e">
        <f t="shared" si="47"/>
        <v>#REF!</v>
      </c>
      <c r="J58" s="583" t="e">
        <f t="shared" si="47"/>
        <v>#REF!</v>
      </c>
      <c r="K58" s="583" t="e">
        <f t="shared" si="47"/>
        <v>#REF!</v>
      </c>
      <c r="L58" s="583" t="e">
        <f t="shared" si="47"/>
        <v>#REF!</v>
      </c>
      <c r="M58" s="583" t="e">
        <f t="shared" si="47"/>
        <v>#REF!</v>
      </c>
      <c r="N58" s="583"/>
      <c r="O58" s="583" t="e">
        <f t="shared" ref="O58:X58" si="48">SUM(O54:O57)</f>
        <v>#REF!</v>
      </c>
      <c r="P58" s="583" t="e">
        <f t="shared" si="48"/>
        <v>#REF!</v>
      </c>
      <c r="Q58" s="583" t="e">
        <f t="shared" si="48"/>
        <v>#REF!</v>
      </c>
      <c r="R58" s="583" t="e">
        <f t="shared" si="48"/>
        <v>#REF!</v>
      </c>
      <c r="S58" s="583" t="e">
        <f t="shared" si="48"/>
        <v>#REF!</v>
      </c>
      <c r="T58" s="583" t="e">
        <f t="shared" si="48"/>
        <v>#REF!</v>
      </c>
      <c r="U58" s="583" t="e">
        <f t="shared" si="48"/>
        <v>#REF!</v>
      </c>
      <c r="V58" s="583" t="e">
        <f t="shared" si="48"/>
        <v>#REF!</v>
      </c>
      <c r="W58" s="583" t="e">
        <f t="shared" si="48"/>
        <v>#REF!</v>
      </c>
      <c r="X58" s="583" t="e">
        <f t="shared" si="48"/>
        <v>#REF!</v>
      </c>
      <c r="AD58" s="9"/>
      <c r="AE58" s="9"/>
      <c r="AF58" s="9"/>
      <c r="AG58" s="9"/>
      <c r="AH58" s="9"/>
      <c r="AI58" s="9"/>
      <c r="AJ58" s="9"/>
      <c r="AK58" s="9"/>
      <c r="AL58" s="9"/>
      <c r="AM58" s="9"/>
      <c r="AN58" s="9"/>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row>
    <row r="59" spans="1:81">
      <c r="A59" s="34"/>
      <c r="F59" s="583"/>
      <c r="G59" s="583"/>
      <c r="H59" s="583"/>
      <c r="I59" s="583"/>
      <c r="J59" s="583"/>
      <c r="K59" s="583"/>
      <c r="L59" s="583"/>
      <c r="M59" s="583"/>
      <c r="N59" s="583"/>
      <c r="O59" s="583"/>
      <c r="P59" s="585"/>
      <c r="Q59" s="583"/>
      <c r="R59" s="583"/>
      <c r="S59" s="583"/>
      <c r="T59" s="588"/>
      <c r="U59" s="588"/>
      <c r="V59" s="588"/>
      <c r="W59" s="588"/>
      <c r="X59" s="588"/>
      <c r="AD59" s="9"/>
      <c r="AE59" s="9"/>
      <c r="AF59" s="9"/>
      <c r="AG59" s="9"/>
      <c r="AH59" s="9"/>
      <c r="AI59" s="9"/>
      <c r="AJ59" s="9"/>
      <c r="AK59" s="9"/>
      <c r="AL59" s="9"/>
      <c r="AM59" s="9"/>
      <c r="AN59" s="9"/>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row>
    <row r="60" spans="1:81">
      <c r="A60" s="34">
        <v>2800</v>
      </c>
      <c r="C60" t="s">
        <v>183</v>
      </c>
      <c r="F60" s="583">
        <v>1600000</v>
      </c>
      <c r="G60" s="583">
        <v>1600000</v>
      </c>
      <c r="H60" s="583">
        <v>1600000</v>
      </c>
      <c r="I60" s="583">
        <f>H60</f>
        <v>1600000</v>
      </c>
      <c r="J60" s="583">
        <v>1600000</v>
      </c>
      <c r="K60" s="583">
        <v>1600000</v>
      </c>
      <c r="L60" s="583">
        <v>1600000</v>
      </c>
      <c r="M60" s="583">
        <v>1600000</v>
      </c>
      <c r="N60" s="583"/>
      <c r="O60" s="583">
        <v>1600000</v>
      </c>
      <c r="P60" s="583">
        <v>1600000</v>
      </c>
      <c r="Q60" s="583">
        <v>1600000</v>
      </c>
      <c r="R60" s="583">
        <v>1600000</v>
      </c>
      <c r="S60" s="583">
        <v>1600000</v>
      </c>
      <c r="T60" s="583">
        <v>1600000</v>
      </c>
      <c r="U60" s="583">
        <v>1600001</v>
      </c>
      <c r="V60" s="583">
        <v>1600002</v>
      </c>
      <c r="W60" s="583">
        <v>1600003</v>
      </c>
      <c r="X60" s="583">
        <v>1600004</v>
      </c>
      <c r="AD60" s="9"/>
      <c r="AE60" s="9"/>
      <c r="AF60" s="9"/>
      <c r="AG60" s="9"/>
      <c r="AH60" s="9"/>
      <c r="AI60" s="9"/>
      <c r="AJ60" s="9"/>
      <c r="AK60" s="9"/>
      <c r="AL60" s="9"/>
      <c r="AM60" s="9"/>
      <c r="AN60" s="9"/>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row>
    <row r="61" spans="1:81">
      <c r="A61" s="34"/>
      <c r="F61" s="583"/>
      <c r="G61" s="583"/>
      <c r="H61" s="583"/>
      <c r="I61" s="583"/>
      <c r="J61" s="583"/>
      <c r="K61" s="583"/>
      <c r="L61" s="583"/>
      <c r="M61" s="583"/>
      <c r="N61" s="583"/>
      <c r="O61" s="583"/>
      <c r="P61" s="583"/>
      <c r="Q61" s="583"/>
      <c r="R61" s="583"/>
      <c r="S61" s="585"/>
      <c r="T61" s="588"/>
      <c r="U61" s="588"/>
      <c r="V61" s="588"/>
      <c r="W61" s="588"/>
      <c r="X61" s="588"/>
      <c r="AD61" s="9"/>
      <c r="AE61" s="9"/>
      <c r="AF61" s="9"/>
      <c r="AG61" s="9"/>
      <c r="AH61" s="9"/>
      <c r="AI61" s="9"/>
      <c r="AJ61" s="9"/>
      <c r="AK61" s="9"/>
      <c r="AL61" s="9"/>
      <c r="AM61" s="9"/>
      <c r="AN61" s="9"/>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row>
    <row r="62" spans="1:81">
      <c r="A62" s="34">
        <v>2830</v>
      </c>
      <c r="C62" t="s">
        <v>328</v>
      </c>
      <c r="F62" s="583">
        <v>0</v>
      </c>
      <c r="G62" s="583">
        <v>77813</v>
      </c>
      <c r="H62" s="583">
        <f>G62</f>
        <v>77813</v>
      </c>
      <c r="I62" s="583">
        <v>77802</v>
      </c>
      <c r="J62" s="583">
        <v>677802</v>
      </c>
      <c r="K62" s="583">
        <v>677802</v>
      </c>
      <c r="L62" s="583">
        <v>677802</v>
      </c>
      <c r="M62" s="583">
        <v>1652713</v>
      </c>
      <c r="N62" s="583"/>
      <c r="O62" s="583">
        <v>2737795</v>
      </c>
      <c r="P62" s="583">
        <v>2737092</v>
      </c>
      <c r="Q62" s="583">
        <v>3686651</v>
      </c>
      <c r="R62" s="583">
        <v>3392516</v>
      </c>
      <c r="S62" s="583">
        <v>3418035</v>
      </c>
      <c r="T62" s="588" t="e">
        <f>'4_Fin-Stat'!#REF!</f>
        <v>#REF!</v>
      </c>
      <c r="U62" s="588" t="e">
        <f>'4_Fin-Stat'!#REF!</f>
        <v>#REF!</v>
      </c>
      <c r="V62" s="588" t="e">
        <f>'4_Fin-Stat'!#REF!</f>
        <v>#REF!</v>
      </c>
      <c r="W62" s="588" t="e">
        <f>'4_Fin-Stat'!#REF!</f>
        <v>#REF!</v>
      </c>
      <c r="X62" s="588" t="e">
        <f>'4_Fin-Stat'!#REF!</f>
        <v>#REF!</v>
      </c>
      <c r="AD62" s="9"/>
      <c r="AE62" s="9"/>
      <c r="AF62" s="9"/>
      <c r="AG62" s="9"/>
      <c r="AH62" s="9"/>
      <c r="AI62" s="9"/>
      <c r="AJ62" s="9"/>
      <c r="AK62" s="9"/>
      <c r="AL62" s="9"/>
      <c r="AM62" s="9"/>
      <c r="AN62" s="9"/>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row>
    <row r="63" spans="1:81">
      <c r="A63" s="34">
        <v>2830</v>
      </c>
      <c r="C63" t="s">
        <v>950</v>
      </c>
      <c r="F63" s="583">
        <f>F62</f>
        <v>0</v>
      </c>
      <c r="G63" s="583">
        <f>-'4_Fin-Stat'!G572</f>
        <v>0</v>
      </c>
      <c r="H63" s="583">
        <f>-'4_Fin-Stat'!H572</f>
        <v>0</v>
      </c>
      <c r="I63" s="583">
        <f>-'4_Fin-Stat'!I572</f>
        <v>0</v>
      </c>
      <c r="J63" s="583">
        <f>-'4_Fin-Stat'!J572</f>
        <v>0</v>
      </c>
      <c r="K63" s="583">
        <f>-'4_Fin-Stat'!K572</f>
        <v>0</v>
      </c>
      <c r="L63" s="583">
        <f>-'4_Fin-Stat'!L572</f>
        <v>0</v>
      </c>
      <c r="M63" s="583"/>
      <c r="N63" s="583"/>
      <c r="O63" s="583"/>
      <c r="P63" s="583"/>
      <c r="Q63" s="583"/>
      <c r="R63" s="583"/>
      <c r="S63" s="583"/>
      <c r="T63" s="588"/>
      <c r="U63" s="588"/>
      <c r="V63" s="588"/>
      <c r="W63" s="588"/>
      <c r="X63" s="588"/>
      <c r="AD63" s="9"/>
      <c r="AE63" s="9"/>
      <c r="AF63" s="9"/>
      <c r="AG63" s="9"/>
      <c r="AH63" s="9"/>
      <c r="AI63" s="9"/>
      <c r="AJ63" s="9"/>
      <c r="AK63" s="9"/>
      <c r="AL63" s="9"/>
      <c r="AM63" s="9"/>
      <c r="AN63" s="9"/>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row>
    <row r="64" spans="1:81">
      <c r="A64" s="34">
        <v>2830</v>
      </c>
      <c r="C64" t="s">
        <v>951</v>
      </c>
      <c r="F64" s="583"/>
      <c r="G64" s="583"/>
      <c r="H64" s="583"/>
      <c r="I64" s="583"/>
      <c r="J64" s="583"/>
      <c r="K64" s="583"/>
      <c r="L64" s="583"/>
      <c r="M64" s="583">
        <f>-'4_Fin-Stat'!M572</f>
        <v>0</v>
      </c>
      <c r="N64" s="583"/>
      <c r="O64" s="583">
        <f>-'4_Fin-Stat'!O572</f>
        <v>0</v>
      </c>
      <c r="P64" s="583">
        <f>-'4_Fin-Stat'!P572</f>
        <v>0</v>
      </c>
      <c r="Q64" s="583">
        <f>-'4_Fin-Stat'!Q572</f>
        <v>0</v>
      </c>
      <c r="R64" s="583">
        <f>-'4_Fin-Stat'!R572</f>
        <v>0</v>
      </c>
      <c r="S64" s="583">
        <f>-'4_Fin-Stat'!S572</f>
        <v>0</v>
      </c>
      <c r="T64" s="583">
        <f>-'4_Fin-Stat'!T572</f>
        <v>0</v>
      </c>
      <c r="U64" s="583">
        <f>-'4_Fin-Stat'!U572</f>
        <v>0</v>
      </c>
      <c r="V64" s="583">
        <f>-'4_Fin-Stat'!V572</f>
        <v>0</v>
      </c>
      <c r="W64" s="583">
        <f>-'4_Fin-Stat'!W572</f>
        <v>0</v>
      </c>
      <c r="X64" s="583">
        <f>-'4_Fin-Stat'!X572</f>
        <v>0</v>
      </c>
      <c r="AD64" s="9"/>
      <c r="AE64" s="9"/>
      <c r="AF64" s="9"/>
      <c r="AG64" s="9"/>
      <c r="AH64" s="9"/>
      <c r="AI64" s="9"/>
      <c r="AJ64" s="9"/>
      <c r="AK64" s="9"/>
      <c r="AL64" s="9"/>
      <c r="AM64" s="9"/>
      <c r="AN64" s="9"/>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row>
    <row r="65" spans="1:81">
      <c r="A65" s="34">
        <v>2830</v>
      </c>
      <c r="C65" t="s">
        <v>952</v>
      </c>
      <c r="F65" s="583"/>
      <c r="G65" s="583"/>
      <c r="H65" s="583"/>
      <c r="I65" s="583"/>
      <c r="J65" s="583"/>
      <c r="K65" s="583"/>
      <c r="L65" s="583"/>
      <c r="M65" s="583"/>
      <c r="N65" s="583"/>
      <c r="O65" s="583" t="e">
        <f>#REF!</f>
        <v>#REF!</v>
      </c>
      <c r="P65" s="583" t="e">
        <f>O65</f>
        <v>#REF!</v>
      </c>
      <c r="Q65" s="583" t="e">
        <f>'4_Fin-Stat'!Q510+P65</f>
        <v>#REF!</v>
      </c>
      <c r="R65" s="583" t="e">
        <f>'4_Fin-Stat'!R510+Q65</f>
        <v>#REF!</v>
      </c>
      <c r="S65" s="583" t="e">
        <f>'4_Fin-Stat'!S510+R65</f>
        <v>#REF!</v>
      </c>
      <c r="T65" s="583" t="e">
        <f>'4_Fin-Stat'!T510+S65</f>
        <v>#REF!</v>
      </c>
      <c r="U65" s="583" t="e">
        <f>'4_Fin-Stat'!U510+T65</f>
        <v>#REF!</v>
      </c>
      <c r="V65" s="583" t="e">
        <f>'4_Fin-Stat'!V510+U65</f>
        <v>#REF!</v>
      </c>
      <c r="W65" s="583" t="e">
        <f>'4_Fin-Stat'!W510+V65</f>
        <v>#REF!</v>
      </c>
      <c r="X65" s="583" t="e">
        <f>'4_Fin-Stat'!X510+W65</f>
        <v>#REF!</v>
      </c>
      <c r="AD65" s="9"/>
      <c r="AE65" s="9"/>
      <c r="AF65" s="9"/>
      <c r="AG65" s="9"/>
      <c r="AH65" s="9"/>
      <c r="AI65" s="9"/>
      <c r="AJ65" s="9"/>
      <c r="AK65" s="9"/>
      <c r="AL65" s="9"/>
      <c r="AM65" s="9"/>
      <c r="AN65" s="9"/>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row>
    <row r="66" spans="1:81">
      <c r="A66" s="34">
        <v>2830</v>
      </c>
      <c r="C66" t="s">
        <v>953</v>
      </c>
      <c r="F66" s="584"/>
      <c r="G66" s="584"/>
      <c r="H66" s="584"/>
      <c r="I66" s="584"/>
      <c r="J66" s="584"/>
      <c r="K66" s="584"/>
      <c r="L66" s="584"/>
      <c r="M66" s="584">
        <f>-'4_Fin-Stat'!M496</f>
        <v>-1500261</v>
      </c>
      <c r="N66" s="584"/>
      <c r="O66" s="584"/>
      <c r="P66" s="584"/>
      <c r="Q66" s="584">
        <f>-'4_Fin-Stat'!Q514</f>
        <v>-564281</v>
      </c>
      <c r="R66" s="584">
        <f>-'4_Fin-Stat'!R514</f>
        <v>0</v>
      </c>
      <c r="S66" s="584">
        <f>-'4_Fin-Stat'!S514</f>
        <v>0</v>
      </c>
      <c r="T66" s="584">
        <f>-'4_Fin-Stat'!T514</f>
        <v>0</v>
      </c>
      <c r="U66" s="584">
        <f>-'4_Fin-Stat'!U514</f>
        <v>0</v>
      </c>
      <c r="V66" s="584">
        <f>-'4_Fin-Stat'!V514</f>
        <v>0</v>
      </c>
      <c r="W66" s="584">
        <f>-'4_Fin-Stat'!W514</f>
        <v>0</v>
      </c>
      <c r="X66" s="584">
        <f>-'4_Fin-Stat'!X514</f>
        <v>0</v>
      </c>
      <c r="Y66" s="4"/>
      <c r="Z66" s="4"/>
      <c r="AA66" s="4"/>
      <c r="AD66" s="9"/>
      <c r="AE66" s="9"/>
      <c r="AF66" s="9"/>
      <c r="AG66" s="9"/>
      <c r="AH66" s="9"/>
      <c r="AI66" s="9"/>
      <c r="AJ66" s="9"/>
      <c r="AK66" s="9"/>
      <c r="AL66" s="9"/>
      <c r="AM66" s="9"/>
      <c r="AN66" s="9"/>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row>
    <row r="67" spans="1:81">
      <c r="A67" s="34"/>
      <c r="F67" s="583">
        <f t="shared" ref="F67:M67" si="49">SUM(F62:F66)</f>
        <v>0</v>
      </c>
      <c r="G67" s="583">
        <f t="shared" si="49"/>
        <v>77813</v>
      </c>
      <c r="H67" s="583">
        <f t="shared" si="49"/>
        <v>77813</v>
      </c>
      <c r="I67" s="583">
        <f t="shared" si="49"/>
        <v>77802</v>
      </c>
      <c r="J67" s="583">
        <f t="shared" si="49"/>
        <v>677802</v>
      </c>
      <c r="K67" s="583">
        <f t="shared" si="49"/>
        <v>677802</v>
      </c>
      <c r="L67" s="583">
        <f t="shared" si="49"/>
        <v>677802</v>
      </c>
      <c r="M67" s="583">
        <f t="shared" si="49"/>
        <v>152452</v>
      </c>
      <c r="N67" s="583"/>
      <c r="O67" s="583" t="e">
        <f t="shared" ref="O67:X67" si="50">SUM(O62:O66)</f>
        <v>#REF!</v>
      </c>
      <c r="P67" s="583" t="e">
        <f t="shared" si="50"/>
        <v>#REF!</v>
      </c>
      <c r="Q67" s="583" t="e">
        <f t="shared" si="50"/>
        <v>#REF!</v>
      </c>
      <c r="R67" s="583" t="e">
        <f t="shared" si="50"/>
        <v>#REF!</v>
      </c>
      <c r="S67" s="583" t="e">
        <f t="shared" si="50"/>
        <v>#REF!</v>
      </c>
      <c r="T67" s="583" t="e">
        <f t="shared" si="50"/>
        <v>#REF!</v>
      </c>
      <c r="U67" s="583" t="e">
        <f t="shared" si="50"/>
        <v>#REF!</v>
      </c>
      <c r="V67" s="583" t="e">
        <f t="shared" si="50"/>
        <v>#REF!</v>
      </c>
      <c r="W67" s="583" t="e">
        <f t="shared" si="50"/>
        <v>#REF!</v>
      </c>
      <c r="X67" s="583" t="e">
        <f t="shared" si="50"/>
        <v>#REF!</v>
      </c>
      <c r="AD67" s="9"/>
      <c r="AE67" s="9"/>
      <c r="AF67" s="9"/>
      <c r="AG67" s="9"/>
      <c r="AH67" s="9"/>
      <c r="AI67" s="9"/>
      <c r="AJ67" s="9"/>
      <c r="AK67" s="9"/>
      <c r="AL67" s="9"/>
      <c r="AM67" s="9"/>
      <c r="AN67" s="9"/>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row>
    <row r="68" spans="1:81">
      <c r="A68" s="34">
        <v>2830</v>
      </c>
      <c r="C68" t="s">
        <v>329</v>
      </c>
      <c r="F68" s="584">
        <f t="shared" ref="F68:M68" si="51">F101</f>
        <v>0</v>
      </c>
      <c r="G68" s="584" t="e">
        <f t="shared" si="51"/>
        <v>#REF!</v>
      </c>
      <c r="H68" s="584" t="e">
        <f t="shared" si="51"/>
        <v>#REF!</v>
      </c>
      <c r="I68" s="584" t="e">
        <f t="shared" si="51"/>
        <v>#REF!</v>
      </c>
      <c r="J68" s="584" t="e">
        <f t="shared" si="51"/>
        <v>#REF!</v>
      </c>
      <c r="K68" s="584" t="e">
        <f t="shared" si="51"/>
        <v>#REF!</v>
      </c>
      <c r="L68" s="584" t="e">
        <f t="shared" si="51"/>
        <v>#REF!</v>
      </c>
      <c r="M68" s="584" t="e">
        <f t="shared" si="51"/>
        <v>#REF!</v>
      </c>
      <c r="N68" s="584"/>
      <c r="O68" s="584" t="e">
        <f t="shared" ref="O68:X68" si="52">O101</f>
        <v>#REF!</v>
      </c>
      <c r="P68" s="584" t="e">
        <f t="shared" si="52"/>
        <v>#REF!</v>
      </c>
      <c r="Q68" s="584" t="e">
        <f t="shared" si="52"/>
        <v>#REF!</v>
      </c>
      <c r="R68" s="584" t="e">
        <f t="shared" si="52"/>
        <v>#REF!</v>
      </c>
      <c r="S68" s="584" t="e">
        <f t="shared" si="52"/>
        <v>#REF!</v>
      </c>
      <c r="T68" s="584" t="e">
        <f t="shared" si="52"/>
        <v>#REF!</v>
      </c>
      <c r="U68" s="584" t="e">
        <f t="shared" si="52"/>
        <v>#REF!</v>
      </c>
      <c r="V68" s="584" t="e">
        <f t="shared" si="52"/>
        <v>#REF!</v>
      </c>
      <c r="W68" s="584" t="e">
        <f t="shared" si="52"/>
        <v>#REF!</v>
      </c>
      <c r="X68" s="584" t="e">
        <f t="shared" si="52"/>
        <v>#REF!</v>
      </c>
      <c r="Y68" s="4"/>
      <c r="Z68" s="4"/>
      <c r="AA68" s="4"/>
      <c r="AD68" s="9"/>
      <c r="AE68" s="9"/>
      <c r="AF68" s="9"/>
      <c r="AG68" s="9"/>
      <c r="AH68" s="9"/>
      <c r="AI68" s="9"/>
      <c r="AJ68" s="9"/>
      <c r="AK68" s="9"/>
      <c r="AL68" s="9"/>
      <c r="AM68" s="9"/>
      <c r="AN68" s="9"/>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row>
    <row r="69" spans="1:81">
      <c r="A69" s="34"/>
      <c r="F69" s="583">
        <f t="shared" ref="F69:M69" si="53">F67+F68</f>
        <v>0</v>
      </c>
      <c r="G69" s="583" t="e">
        <f t="shared" si="53"/>
        <v>#REF!</v>
      </c>
      <c r="H69" s="583" t="e">
        <f t="shared" si="53"/>
        <v>#REF!</v>
      </c>
      <c r="I69" s="583" t="e">
        <f t="shared" si="53"/>
        <v>#REF!</v>
      </c>
      <c r="J69" s="583" t="e">
        <f t="shared" si="53"/>
        <v>#REF!</v>
      </c>
      <c r="K69" s="583" t="e">
        <f t="shared" si="53"/>
        <v>#REF!</v>
      </c>
      <c r="L69" s="583" t="e">
        <f t="shared" si="53"/>
        <v>#REF!</v>
      </c>
      <c r="M69" s="583" t="e">
        <f t="shared" si="53"/>
        <v>#REF!</v>
      </c>
      <c r="N69" s="583"/>
      <c r="O69" s="583" t="e">
        <f t="shared" ref="O69:X69" si="54">O67+O68</f>
        <v>#REF!</v>
      </c>
      <c r="P69" s="583" t="e">
        <f t="shared" si="54"/>
        <v>#REF!</v>
      </c>
      <c r="Q69" s="583" t="e">
        <f t="shared" si="54"/>
        <v>#REF!</v>
      </c>
      <c r="R69" s="583" t="e">
        <f t="shared" si="54"/>
        <v>#REF!</v>
      </c>
      <c r="S69" s="583" t="e">
        <f t="shared" si="54"/>
        <v>#REF!</v>
      </c>
      <c r="T69" s="583" t="e">
        <f t="shared" si="54"/>
        <v>#REF!</v>
      </c>
      <c r="U69" s="583" t="e">
        <f t="shared" si="54"/>
        <v>#REF!</v>
      </c>
      <c r="V69" s="583" t="e">
        <f t="shared" si="54"/>
        <v>#REF!</v>
      </c>
      <c r="W69" s="583" t="e">
        <f t="shared" si="54"/>
        <v>#REF!</v>
      </c>
      <c r="X69" s="583" t="e">
        <f t="shared" si="54"/>
        <v>#REF!</v>
      </c>
      <c r="AD69" s="9"/>
      <c r="AE69" s="9"/>
      <c r="AF69" s="9"/>
      <c r="AG69" s="9"/>
      <c r="AH69" s="9"/>
      <c r="AI69" s="9"/>
      <c r="AJ69" s="9"/>
      <c r="AK69" s="9"/>
      <c r="AL69" s="9"/>
      <c r="AM69" s="9"/>
      <c r="AN69" s="9"/>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row>
    <row r="70" spans="1:81">
      <c r="A70" s="34">
        <v>2940</v>
      </c>
      <c r="C70" t="s">
        <v>185</v>
      </c>
      <c r="F70" s="583"/>
      <c r="G70" s="583"/>
      <c r="H70" s="583">
        <v>1387</v>
      </c>
      <c r="I70" s="583">
        <f>-8957+H70</f>
        <v>-7570</v>
      </c>
      <c r="J70" s="583">
        <f>5471+I70</f>
        <v>-2099</v>
      </c>
      <c r="K70" s="583">
        <v>-15627</v>
      </c>
      <c r="L70" s="583">
        <v>-17724</v>
      </c>
      <c r="M70" s="583">
        <v>6</v>
      </c>
      <c r="N70" s="583"/>
      <c r="O70" s="583">
        <v>85</v>
      </c>
      <c r="P70" s="583">
        <v>340</v>
      </c>
      <c r="Q70" s="583">
        <v>-2720</v>
      </c>
      <c r="R70" s="583">
        <v>-655</v>
      </c>
      <c r="S70" s="583">
        <v>-1717</v>
      </c>
      <c r="T70" s="588" t="e">
        <f>'4_Fin-Stat'!#REF!</f>
        <v>#REF!</v>
      </c>
      <c r="U70" s="588" t="e">
        <f>'4_Fin-Stat'!#REF!</f>
        <v>#REF!</v>
      </c>
      <c r="V70" s="588" t="e">
        <f>'4_Fin-Stat'!#REF!</f>
        <v>#REF!</v>
      </c>
      <c r="W70" s="588" t="e">
        <f>'4_Fin-Stat'!#REF!</f>
        <v>#REF!</v>
      </c>
      <c r="X70" s="588" t="e">
        <f>'4_Fin-Stat'!#REF!</f>
        <v>#REF!</v>
      </c>
      <c r="AD70" s="9"/>
      <c r="AE70" s="9"/>
      <c r="AF70" s="9"/>
      <c r="AG70" s="9"/>
      <c r="AH70" s="9"/>
      <c r="AI70" s="9"/>
      <c r="AJ70" s="9"/>
      <c r="AK70" s="9"/>
      <c r="AL70" s="9"/>
      <c r="AM70" s="9"/>
      <c r="AN70" s="9"/>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row>
    <row r="71" spans="1:81">
      <c r="A71" s="34">
        <v>2840</v>
      </c>
      <c r="C71" t="s">
        <v>186</v>
      </c>
      <c r="F71" s="583"/>
      <c r="G71" s="583"/>
      <c r="H71" s="583"/>
      <c r="I71" s="583"/>
      <c r="J71" s="583"/>
      <c r="K71" s="583"/>
      <c r="L71" s="583"/>
      <c r="M71" s="583">
        <v>14891</v>
      </c>
      <c r="N71" s="583"/>
      <c r="O71" s="583">
        <v>-24352</v>
      </c>
      <c r="P71" s="583">
        <v>-5525</v>
      </c>
      <c r="Q71" s="583">
        <v>659</v>
      </c>
      <c r="R71" s="583">
        <v>-217</v>
      </c>
      <c r="S71" s="583">
        <v>-41806</v>
      </c>
      <c r="T71" s="588" t="e">
        <f>'4_Fin-Stat'!#REF!</f>
        <v>#REF!</v>
      </c>
      <c r="U71" s="588" t="e">
        <f>'4_Fin-Stat'!#REF!</f>
        <v>#REF!</v>
      </c>
      <c r="V71" s="588" t="e">
        <f>'4_Fin-Stat'!#REF!</f>
        <v>#REF!</v>
      </c>
      <c r="W71" s="588" t="e">
        <f>'4_Fin-Stat'!#REF!</f>
        <v>#REF!</v>
      </c>
      <c r="X71" s="588" t="e">
        <f>'4_Fin-Stat'!#REF!</f>
        <v>#REF!</v>
      </c>
      <c r="AD71" s="9"/>
      <c r="AE71" s="9"/>
      <c r="AF71" s="9"/>
      <c r="AG71" s="9"/>
      <c r="AH71" s="9"/>
      <c r="AI71" s="9"/>
      <c r="AJ71" s="9"/>
      <c r="AK71" s="9"/>
      <c r="AL71" s="9"/>
      <c r="AM71" s="9"/>
      <c r="AN71" s="9"/>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row>
    <row r="72" spans="1:81">
      <c r="A72" s="34">
        <v>2840</v>
      </c>
      <c r="C72" t="s">
        <v>187</v>
      </c>
      <c r="F72" s="583"/>
      <c r="G72" s="583"/>
      <c r="H72" s="583"/>
      <c r="I72" s="583"/>
      <c r="J72" s="583"/>
      <c r="K72" s="583"/>
      <c r="L72" s="583"/>
      <c r="M72" s="583">
        <v>1065</v>
      </c>
      <c r="N72" s="583"/>
      <c r="O72" s="583">
        <v>-673</v>
      </c>
      <c r="P72" s="583">
        <v>380</v>
      </c>
      <c r="Q72" s="583">
        <v>387</v>
      </c>
      <c r="R72" s="583">
        <v>162</v>
      </c>
      <c r="S72" s="583">
        <v>-45</v>
      </c>
      <c r="T72" s="588" t="e">
        <f>'4_Fin-Stat'!#REF!</f>
        <v>#REF!</v>
      </c>
      <c r="U72" s="588" t="e">
        <f>'4_Fin-Stat'!#REF!</f>
        <v>#REF!</v>
      </c>
      <c r="V72" s="588" t="e">
        <f>'4_Fin-Stat'!#REF!</f>
        <v>#REF!</v>
      </c>
      <c r="W72" s="588" t="e">
        <f>'4_Fin-Stat'!#REF!</f>
        <v>#REF!</v>
      </c>
      <c r="X72" s="588" t="e">
        <f>'4_Fin-Stat'!#REF!</f>
        <v>#REF!</v>
      </c>
      <c r="AD72" s="9"/>
      <c r="AE72" s="9"/>
      <c r="AF72" s="9"/>
      <c r="AG72" s="9"/>
      <c r="AH72" s="9"/>
      <c r="AI72" s="9"/>
      <c r="AJ72" s="9"/>
      <c r="AK72" s="9"/>
      <c r="AL72" s="9"/>
      <c r="AM72" s="9"/>
      <c r="AN72" s="9"/>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row>
    <row r="73" spans="1:81">
      <c r="A73" s="34">
        <v>2930</v>
      </c>
      <c r="C73" t="s">
        <v>199</v>
      </c>
      <c r="F73" s="584">
        <v>-38645</v>
      </c>
      <c r="G73" s="584">
        <v>-4662</v>
      </c>
      <c r="H73" s="584">
        <v>-61041</v>
      </c>
      <c r="I73" s="584">
        <v>-7985</v>
      </c>
      <c r="J73" s="584">
        <v>24099</v>
      </c>
      <c r="K73" s="584">
        <v>139604</v>
      </c>
      <c r="L73" s="584">
        <v>209002</v>
      </c>
      <c r="M73" s="584">
        <v>169389</v>
      </c>
      <c r="N73" s="584"/>
      <c r="O73" s="584">
        <v>-111560</v>
      </c>
      <c r="P73" s="584">
        <v>-50648</v>
      </c>
      <c r="Q73" s="584">
        <v>-215998</v>
      </c>
      <c r="R73" s="584">
        <v>-61402</v>
      </c>
      <c r="S73" s="584">
        <v>-148787</v>
      </c>
      <c r="T73" s="590" t="e">
        <f>'4_Fin-Stat'!#REF!</f>
        <v>#REF!</v>
      </c>
      <c r="U73" s="590" t="e">
        <f>'4_Fin-Stat'!#REF!</f>
        <v>#REF!</v>
      </c>
      <c r="V73" s="590" t="e">
        <f>'4_Fin-Stat'!#REF!</f>
        <v>#REF!</v>
      </c>
      <c r="W73" s="590" t="e">
        <f>'4_Fin-Stat'!#REF!</f>
        <v>#REF!</v>
      </c>
      <c r="X73" s="590" t="e">
        <f>'4_Fin-Stat'!#REF!</f>
        <v>#REF!</v>
      </c>
      <c r="Y73" s="4"/>
      <c r="Z73" s="4"/>
      <c r="AA73" s="4"/>
      <c r="AD73" s="9"/>
      <c r="AE73" s="9"/>
      <c r="AF73" s="9"/>
      <c r="AG73" s="9"/>
      <c r="AH73" s="9"/>
      <c r="AI73" s="9"/>
      <c r="AJ73" s="9"/>
      <c r="AK73" s="9"/>
      <c r="AL73" s="9"/>
      <c r="AM73" s="9"/>
      <c r="AN73" s="9"/>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7"/>
      <c r="BU73" s="547"/>
      <c r="BV73" s="547"/>
      <c r="BW73" s="547"/>
      <c r="BX73" s="547"/>
      <c r="BY73" s="547"/>
      <c r="BZ73" s="547"/>
      <c r="CA73" s="547"/>
      <c r="CB73" s="547"/>
      <c r="CC73" s="547"/>
    </row>
    <row r="74" spans="1:81">
      <c r="A74" s="34"/>
      <c r="F74" s="583">
        <f t="shared" ref="F74:M74" si="55">F60+F69+F70+F71+F72+F73</f>
        <v>1561355</v>
      </c>
      <c r="G74" s="583" t="e">
        <f t="shared" si="55"/>
        <v>#REF!</v>
      </c>
      <c r="H74" s="583" t="e">
        <f t="shared" si="55"/>
        <v>#REF!</v>
      </c>
      <c r="I74" s="583" t="e">
        <f t="shared" si="55"/>
        <v>#REF!</v>
      </c>
      <c r="J74" s="583" t="e">
        <f t="shared" si="55"/>
        <v>#REF!</v>
      </c>
      <c r="K74" s="583" t="e">
        <f t="shared" si="55"/>
        <v>#REF!</v>
      </c>
      <c r="L74" s="583" t="e">
        <f t="shared" si="55"/>
        <v>#REF!</v>
      </c>
      <c r="M74" s="583" t="e">
        <f t="shared" si="55"/>
        <v>#REF!</v>
      </c>
      <c r="N74" s="583"/>
      <c r="O74" s="583" t="e">
        <f t="shared" ref="O74:X74" si="56">O60+O69+O70+O71+O72+O73</f>
        <v>#REF!</v>
      </c>
      <c r="P74" s="583" t="e">
        <f t="shared" si="56"/>
        <v>#REF!</v>
      </c>
      <c r="Q74" s="583" t="e">
        <f t="shared" si="56"/>
        <v>#REF!</v>
      </c>
      <c r="R74" s="583" t="e">
        <f t="shared" si="56"/>
        <v>#REF!</v>
      </c>
      <c r="S74" s="583" t="e">
        <f t="shared" si="56"/>
        <v>#REF!</v>
      </c>
      <c r="T74" s="583" t="e">
        <f t="shared" si="56"/>
        <v>#REF!</v>
      </c>
      <c r="U74" s="583" t="e">
        <f t="shared" si="56"/>
        <v>#REF!</v>
      </c>
      <c r="V74" s="583" t="e">
        <f t="shared" si="56"/>
        <v>#REF!</v>
      </c>
      <c r="W74" s="583" t="e">
        <f t="shared" si="56"/>
        <v>#REF!</v>
      </c>
      <c r="X74" s="583" t="e">
        <f t="shared" si="56"/>
        <v>#REF!</v>
      </c>
      <c r="AD74" s="9"/>
      <c r="AE74" s="9"/>
      <c r="AF74" s="9"/>
      <c r="AG74" s="9"/>
      <c r="AH74" s="9"/>
      <c r="AI74" s="9"/>
      <c r="AJ74" s="9"/>
      <c r="AK74" s="9"/>
      <c r="AL74" s="9"/>
      <c r="AM74" s="9"/>
      <c r="AN74" s="9"/>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c r="CB74" s="547"/>
      <c r="CC74" s="547"/>
    </row>
    <row r="75" spans="1:81">
      <c r="A75" s="34">
        <v>2770</v>
      </c>
      <c r="C75" t="s">
        <v>936</v>
      </c>
      <c r="F75" s="583"/>
      <c r="G75" s="583"/>
      <c r="H75" s="583"/>
      <c r="I75" s="583"/>
      <c r="J75" s="583"/>
      <c r="K75" s="583"/>
      <c r="L75" s="583"/>
      <c r="M75" s="583"/>
      <c r="N75" s="583"/>
      <c r="O75" s="583">
        <f>981+2356</f>
        <v>3337</v>
      </c>
      <c r="P75" s="585">
        <f>1079+1410</f>
        <v>2489</v>
      </c>
      <c r="Q75" s="583">
        <f>1098+607</f>
        <v>1705</v>
      </c>
      <c r="R75" s="583">
        <f>997-99</f>
        <v>898</v>
      </c>
      <c r="S75" s="583"/>
      <c r="T75" s="588"/>
      <c r="U75" s="588"/>
      <c r="V75" s="588"/>
      <c r="W75" s="588"/>
      <c r="X75" s="588"/>
      <c r="AD75" s="9"/>
      <c r="AE75" s="9"/>
      <c r="AF75" s="9"/>
      <c r="AG75" s="9"/>
      <c r="AH75" s="9"/>
      <c r="AI75" s="9"/>
      <c r="AJ75" s="9"/>
      <c r="AK75" s="9"/>
      <c r="AL75" s="9"/>
      <c r="AM75" s="9"/>
      <c r="AN75" s="9"/>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c r="BV75" s="547"/>
      <c r="BW75" s="547"/>
      <c r="BX75" s="547"/>
      <c r="BY75" s="547"/>
      <c r="BZ75" s="547"/>
      <c r="CA75" s="547"/>
      <c r="CB75" s="547"/>
      <c r="CC75" s="547"/>
    </row>
    <row r="76" spans="1:81" ht="13.5" thickBot="1">
      <c r="A76" s="34"/>
      <c r="C76" s="1" t="s">
        <v>165</v>
      </c>
      <c r="D76" s="1"/>
      <c r="F76" s="591" t="e">
        <f t="shared" ref="F76:M76" si="57">F44+F58+F74+F75</f>
        <v>#REF!</v>
      </c>
      <c r="G76" s="591" t="e">
        <f t="shared" si="57"/>
        <v>#REF!</v>
      </c>
      <c r="H76" s="591" t="e">
        <f t="shared" si="57"/>
        <v>#REF!</v>
      </c>
      <c r="I76" s="591" t="e">
        <f t="shared" si="57"/>
        <v>#REF!</v>
      </c>
      <c r="J76" s="591" t="e">
        <f t="shared" si="57"/>
        <v>#REF!</v>
      </c>
      <c r="K76" s="591" t="e">
        <f t="shared" si="57"/>
        <v>#REF!</v>
      </c>
      <c r="L76" s="591" t="e">
        <f t="shared" si="57"/>
        <v>#REF!</v>
      </c>
      <c r="M76" s="591" t="e">
        <f t="shared" si="57"/>
        <v>#REF!</v>
      </c>
      <c r="N76" s="591"/>
      <c r="O76" s="591" t="e">
        <f t="shared" ref="O76:X76" si="58">O44+O58+O74+O75</f>
        <v>#REF!</v>
      </c>
      <c r="P76" s="591" t="e">
        <f t="shared" si="58"/>
        <v>#REF!</v>
      </c>
      <c r="Q76" s="591" t="e">
        <f t="shared" si="58"/>
        <v>#REF!</v>
      </c>
      <c r="R76" s="591" t="e">
        <f t="shared" si="58"/>
        <v>#REF!</v>
      </c>
      <c r="S76" s="591" t="e">
        <f t="shared" si="58"/>
        <v>#REF!</v>
      </c>
      <c r="T76" s="591" t="e">
        <f t="shared" si="58"/>
        <v>#REF!</v>
      </c>
      <c r="U76" s="591" t="e">
        <f t="shared" si="58"/>
        <v>#REF!</v>
      </c>
      <c r="V76" s="591" t="e">
        <f t="shared" si="58"/>
        <v>#REF!</v>
      </c>
      <c r="W76" s="591" t="e">
        <f t="shared" si="58"/>
        <v>#REF!</v>
      </c>
      <c r="X76" s="591" t="e">
        <f t="shared" si="58"/>
        <v>#REF!</v>
      </c>
      <c r="Y76" s="489"/>
      <c r="Z76" s="587"/>
      <c r="AA76" s="587"/>
      <c r="AD76" s="9"/>
      <c r="AE76" s="9"/>
      <c r="AF76" s="9"/>
      <c r="AG76" s="9"/>
      <c r="AH76" s="9"/>
      <c r="AI76" s="9"/>
      <c r="AJ76" s="9"/>
      <c r="AK76" s="9"/>
      <c r="AL76" s="9"/>
      <c r="AM76" s="9"/>
      <c r="AN76" s="9"/>
      <c r="AO76" s="547"/>
      <c r="AP76" s="547"/>
      <c r="AQ76" s="547"/>
      <c r="AR76" s="547"/>
      <c r="AS76" s="547"/>
      <c r="AT76" s="547"/>
      <c r="AU76" s="547"/>
      <c r="AV76" s="547"/>
      <c r="AW76" s="547"/>
      <c r="AX76" s="547"/>
      <c r="AY76" s="547"/>
      <c r="AZ76" s="547"/>
      <c r="BA76" s="547"/>
      <c r="BB76" s="547"/>
      <c r="BC76" s="547"/>
      <c r="BD76" s="547"/>
      <c r="BE76" s="547"/>
      <c r="BF76" s="547"/>
      <c r="BG76" s="547"/>
      <c r="BH76" s="547"/>
      <c r="BI76" s="547"/>
      <c r="BJ76" s="547"/>
      <c r="BK76" s="547"/>
      <c r="BL76" s="547"/>
      <c r="BM76" s="547"/>
      <c r="BN76" s="547"/>
      <c r="BO76" s="547"/>
      <c r="BP76" s="547"/>
      <c r="BQ76" s="547"/>
      <c r="BR76" s="547"/>
      <c r="BS76" s="547"/>
      <c r="BT76" s="547"/>
      <c r="BU76" s="547"/>
      <c r="BV76" s="547"/>
      <c r="BW76" s="547"/>
      <c r="BX76" s="547"/>
      <c r="BY76" s="547"/>
      <c r="BZ76" s="547"/>
      <c r="CA76" s="547"/>
      <c r="CB76" s="547"/>
      <c r="CC76" s="547"/>
    </row>
    <row r="77" spans="1:81" ht="13.5" thickTop="1">
      <c r="A77" s="613" t="s">
        <v>954</v>
      </c>
      <c r="B77" s="1"/>
      <c r="C77" s="1"/>
      <c r="D77" s="1"/>
      <c r="E77" s="16" t="s">
        <v>93</v>
      </c>
      <c r="F77" s="9" t="e">
        <f t="shared" ref="F77:M77" si="59">F32-F76</f>
        <v>#REF!</v>
      </c>
      <c r="G77" s="9" t="e">
        <f t="shared" si="59"/>
        <v>#REF!</v>
      </c>
      <c r="H77" s="9" t="e">
        <f t="shared" si="59"/>
        <v>#REF!</v>
      </c>
      <c r="I77" s="9" t="e">
        <f t="shared" si="59"/>
        <v>#REF!</v>
      </c>
      <c r="J77" s="9" t="e">
        <f t="shared" si="59"/>
        <v>#REF!</v>
      </c>
      <c r="K77" s="9" t="e">
        <f t="shared" si="59"/>
        <v>#REF!</v>
      </c>
      <c r="L77" s="9" t="e">
        <f t="shared" si="59"/>
        <v>#REF!</v>
      </c>
      <c r="M77" s="9" t="e">
        <f t="shared" si="59"/>
        <v>#REF!</v>
      </c>
      <c r="N77" s="9"/>
      <c r="O77" s="9" t="e">
        <f>O32-O76</f>
        <v>#REF!</v>
      </c>
      <c r="P77" s="9" t="e">
        <f>P32-P76</f>
        <v>#REF!</v>
      </c>
      <c r="Q77" s="9" t="e">
        <f>Q32-Q76</f>
        <v>#REF!</v>
      </c>
      <c r="R77" s="9" t="e">
        <f>R32-R76</f>
        <v>#REF!</v>
      </c>
      <c r="S77" s="2" t="e">
        <f>S76-S32</f>
        <v>#REF!</v>
      </c>
      <c r="T77" s="593" t="e">
        <f>T76-T32</f>
        <v>#REF!</v>
      </c>
      <c r="V77" s="14"/>
      <c r="AD77" s="9"/>
      <c r="AE77" s="9"/>
      <c r="AF77" s="9"/>
      <c r="AG77" s="9"/>
      <c r="AH77" s="9"/>
      <c r="AI77" s="9"/>
      <c r="AJ77" s="9"/>
      <c r="AK77" s="9"/>
      <c r="AL77" s="9"/>
      <c r="AM77" s="9"/>
      <c r="AN77" s="9"/>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7"/>
      <c r="BW77" s="547"/>
      <c r="BX77" s="547"/>
      <c r="BY77" s="547"/>
      <c r="BZ77" s="547"/>
      <c r="CA77" s="547"/>
      <c r="CB77" s="547"/>
      <c r="CC77" s="547"/>
    </row>
    <row r="78" spans="1:81">
      <c r="A78" s="34">
        <v>1</v>
      </c>
      <c r="C78" s="607" t="s">
        <v>955</v>
      </c>
      <c r="D78" s="607"/>
      <c r="E78" s="607"/>
      <c r="F78" s="620">
        <v>1999</v>
      </c>
      <c r="G78" s="620">
        <f t="shared" ref="G78:M78" si="60">F78+1</f>
        <v>2000</v>
      </c>
      <c r="H78" s="620">
        <f t="shared" si="60"/>
        <v>2001</v>
      </c>
      <c r="I78" s="620">
        <f t="shared" si="60"/>
        <v>2002</v>
      </c>
      <c r="J78" s="620">
        <f t="shared" si="60"/>
        <v>2003</v>
      </c>
      <c r="K78" s="620">
        <f t="shared" si="60"/>
        <v>2004</v>
      </c>
      <c r="L78" s="620">
        <f t="shared" si="60"/>
        <v>2005</v>
      </c>
      <c r="M78" s="620">
        <f t="shared" si="60"/>
        <v>2006</v>
      </c>
      <c r="N78" s="620">
        <f t="shared" ref="N78" si="61">M78+1</f>
        <v>2007</v>
      </c>
      <c r="O78" s="620">
        <f t="shared" ref="O78" si="62">N78+1</f>
        <v>2008</v>
      </c>
      <c r="P78" s="620">
        <f t="shared" ref="P78" si="63">O78+1</f>
        <v>2009</v>
      </c>
      <c r="Q78" s="620">
        <f t="shared" ref="Q78" si="64">P78+1</f>
        <v>2010</v>
      </c>
      <c r="R78" s="620">
        <f t="shared" ref="R78" si="65">Q78+1</f>
        <v>2011</v>
      </c>
      <c r="S78" s="620">
        <f t="shared" ref="S78" si="66">R78+1</f>
        <v>2012</v>
      </c>
      <c r="T78" s="620">
        <f t="shared" ref="T78" si="67">S78+1</f>
        <v>2013</v>
      </c>
      <c r="U78" s="620">
        <f t="shared" ref="U78" si="68">T78+1</f>
        <v>2014</v>
      </c>
      <c r="V78" s="620">
        <f t="shared" ref="V78" si="69">U78+1</f>
        <v>2015</v>
      </c>
      <c r="W78" s="620">
        <f t="shared" ref="W78" si="70">V78+1</f>
        <v>2016</v>
      </c>
      <c r="X78" s="620">
        <f t="shared" ref="X78" si="71">W78+1</f>
        <v>2017</v>
      </c>
      <c r="Y78" s="620">
        <f t="shared" ref="Y78" si="72">X78+1</f>
        <v>2018</v>
      </c>
      <c r="Z78" s="620">
        <f t="shared" ref="Z78" si="73">Y78+1</f>
        <v>2019</v>
      </c>
      <c r="AA78" s="620">
        <f t="shared" ref="AA78" si="74">Z78+1</f>
        <v>2020</v>
      </c>
      <c r="AD78" s="9"/>
      <c r="AE78" s="9"/>
      <c r="AF78" s="9"/>
      <c r="AG78" s="9"/>
      <c r="AH78" s="9"/>
      <c r="AI78" s="9"/>
      <c r="AJ78" s="9"/>
      <c r="AK78" s="9"/>
      <c r="AL78" s="9"/>
      <c r="AM78" s="9"/>
      <c r="AN78" s="9"/>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547"/>
      <c r="CB78" s="547"/>
      <c r="CC78" s="547"/>
    </row>
    <row r="79" spans="1:81">
      <c r="A79" s="34"/>
      <c r="C79" t="s">
        <v>1072</v>
      </c>
      <c r="E79" s="14"/>
      <c r="F79" s="14" t="e">
        <f>'4_Fin-Stat'!#REF!</f>
        <v>#REF!</v>
      </c>
      <c r="G79" s="14" t="e">
        <f>'4_Fin-Stat'!#REF!</f>
        <v>#REF!</v>
      </c>
      <c r="H79" s="14" t="e">
        <f>'4_Fin-Stat'!#REF!</f>
        <v>#REF!</v>
      </c>
      <c r="I79" s="14" t="e">
        <f>'4_Fin-Stat'!#REF!</f>
        <v>#REF!</v>
      </c>
      <c r="J79" s="14" t="e">
        <f>'4_Fin-Stat'!#REF!</f>
        <v>#REF!</v>
      </c>
      <c r="K79" s="14" t="e">
        <f>'4_Fin-Stat'!#REF!</f>
        <v>#REF!</v>
      </c>
      <c r="L79" s="14" t="e">
        <f>'4_Fin-Stat'!#REF!</f>
        <v>#REF!</v>
      </c>
      <c r="M79" s="14" t="e">
        <f>'4_Fin-Stat'!#REF!</f>
        <v>#REF!</v>
      </c>
      <c r="N79" s="14"/>
      <c r="O79" s="14" t="e">
        <f>'4_Fin-Stat'!#REF!</f>
        <v>#REF!</v>
      </c>
      <c r="P79" s="14" t="e">
        <f>'4_Fin-Stat'!#REF!</f>
        <v>#REF!</v>
      </c>
      <c r="Q79" s="14" t="e">
        <f>'4_Fin-Stat'!#REF!</f>
        <v>#REF!</v>
      </c>
      <c r="R79" s="14" t="e">
        <f>'4_Fin-Stat'!#REF!</f>
        <v>#REF!</v>
      </c>
      <c r="S79" s="14" t="e">
        <f>'4_Fin-Stat'!#REF!</f>
        <v>#REF!</v>
      </c>
      <c r="T79" s="14" t="e">
        <f>'4_Fin-Stat'!#REF!</f>
        <v>#REF!</v>
      </c>
      <c r="U79" s="14" t="e">
        <f>'4_Fin-Stat'!#REF!</f>
        <v>#REF!</v>
      </c>
      <c r="V79" s="14" t="e">
        <f>'4_Fin-Stat'!#REF!</f>
        <v>#REF!</v>
      </c>
      <c r="W79" s="14" t="e">
        <f>'4_Fin-Stat'!#REF!</f>
        <v>#REF!</v>
      </c>
      <c r="X79" s="14" t="e">
        <f>'4_Fin-Stat'!#REF!</f>
        <v>#REF!</v>
      </c>
      <c r="AD79" s="9"/>
      <c r="AE79" s="9"/>
      <c r="AF79" s="9"/>
      <c r="AG79" s="9"/>
      <c r="AH79" s="9"/>
      <c r="AI79" s="9"/>
      <c r="AJ79" s="9"/>
      <c r="AK79" s="9"/>
      <c r="AL79" s="9"/>
      <c r="AM79" s="9"/>
      <c r="AN79" s="9"/>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547"/>
      <c r="CB79" s="547"/>
      <c r="CC79" s="547"/>
    </row>
    <row r="80" spans="1:81">
      <c r="A80" s="34"/>
      <c r="C80" t="s">
        <v>24</v>
      </c>
      <c r="E80" s="14"/>
      <c r="F80" s="14">
        <f>'4_Fin-Stat'!F478</f>
        <v>-2552</v>
      </c>
      <c r="G80" s="14">
        <f>'4_Fin-Stat'!G478</f>
        <v>-27422</v>
      </c>
      <c r="H80" s="14">
        <f>'4_Fin-Stat'!H478</f>
        <v>-21566</v>
      </c>
      <c r="I80" s="14">
        <f>'4_Fin-Stat'!I478</f>
        <v>-33877</v>
      </c>
      <c r="J80" s="14">
        <f>'4_Fin-Stat'!J478</f>
        <v>-57697</v>
      </c>
      <c r="K80" s="14">
        <f>'4_Fin-Stat'!K478</f>
        <v>-81940</v>
      </c>
      <c r="L80" s="14">
        <f>'4_Fin-Stat'!L478</f>
        <v>-94155</v>
      </c>
      <c r="M80" s="14">
        <f>'4_Fin-Stat'!M478</f>
        <v>-68969</v>
      </c>
      <c r="N80" s="14"/>
      <c r="O80" s="14">
        <f>'4_Fin-Stat'!O478</f>
        <v>-57826</v>
      </c>
      <c r="P80" s="14">
        <f>'4_Fin-Stat'!P478</f>
        <v>-71608</v>
      </c>
      <c r="Q80" s="14">
        <f>'4_Fin-Stat'!Q478</f>
        <v>-80512</v>
      </c>
      <c r="R80" s="14">
        <f>'4_Fin-Stat'!R478</f>
        <v>0</v>
      </c>
      <c r="S80" s="14">
        <f>'4_Fin-Stat'!S478</f>
        <v>0</v>
      </c>
      <c r="T80" s="14">
        <f>'4_Fin-Stat'!T478</f>
        <v>0</v>
      </c>
      <c r="U80" s="14">
        <f>'4_Fin-Stat'!U478</f>
        <v>0</v>
      </c>
      <c r="V80" s="14">
        <f>'4_Fin-Stat'!V478</f>
        <v>0</v>
      </c>
      <c r="W80" s="14">
        <f>'4_Fin-Stat'!W478</f>
        <v>0</v>
      </c>
      <c r="X80" s="14">
        <f>'4_Fin-Stat'!X478</f>
        <v>0</v>
      </c>
      <c r="AD80" s="9"/>
      <c r="AE80" s="9"/>
      <c r="AF80" s="9"/>
      <c r="AG80" s="9"/>
      <c r="AH80" s="9"/>
      <c r="AI80" s="9"/>
      <c r="AJ80" s="9"/>
      <c r="AK80" s="9"/>
      <c r="AL80" s="9"/>
      <c r="AM80" s="9"/>
      <c r="AN80" s="9"/>
      <c r="AO80" s="547"/>
      <c r="AP80" s="547"/>
      <c r="AQ80" s="547"/>
      <c r="AR80" s="547"/>
      <c r="AS80" s="547"/>
      <c r="AT80" s="547"/>
      <c r="AU80" s="547"/>
      <c r="AV80" s="547"/>
      <c r="AW80" s="547"/>
      <c r="AX80" s="547"/>
      <c r="AY80" s="547"/>
      <c r="AZ80" s="547"/>
      <c r="BA80" s="547"/>
      <c r="BB80" s="547"/>
      <c r="BC80" s="547"/>
      <c r="BD80" s="547"/>
      <c r="BE80" s="547"/>
      <c r="BF80" s="547"/>
      <c r="BG80" s="547"/>
      <c r="BH80" s="547"/>
      <c r="BI80" s="547"/>
      <c r="BJ80" s="547"/>
      <c r="BK80" s="547"/>
      <c r="BL80" s="547"/>
      <c r="BM80" s="547"/>
      <c r="BN80" s="547"/>
      <c r="BO80" s="547"/>
      <c r="BP80" s="547"/>
      <c r="BQ80" s="547"/>
      <c r="BR80" s="547"/>
      <c r="BS80" s="547"/>
      <c r="BT80" s="547"/>
      <c r="BU80" s="547"/>
      <c r="BV80" s="547"/>
      <c r="BW80" s="547"/>
      <c r="BX80" s="547"/>
      <c r="BY80" s="547"/>
      <c r="BZ80" s="547"/>
      <c r="CA80" s="547"/>
      <c r="CB80" s="547"/>
      <c r="CC80" s="547"/>
    </row>
    <row r="81" spans="1:81">
      <c r="A81" s="34"/>
      <c r="C81" t="s">
        <v>427</v>
      </c>
      <c r="E81" s="14"/>
      <c r="F81" s="18">
        <f>F80</f>
        <v>-2552</v>
      </c>
      <c r="G81" s="18">
        <f>F81+G80</f>
        <v>-29974</v>
      </c>
      <c r="H81" s="18">
        <f>G81+H80</f>
        <v>-51540</v>
      </c>
      <c r="I81" s="18">
        <v>77802</v>
      </c>
      <c r="J81" s="18">
        <f>I81+J80</f>
        <v>20105</v>
      </c>
      <c r="K81" s="18">
        <f>J81+K80</f>
        <v>-61835</v>
      </c>
      <c r="L81" s="18">
        <f>K81+L80</f>
        <v>-155990</v>
      </c>
      <c r="M81" s="18">
        <f>L81+M80</f>
        <v>-224959</v>
      </c>
      <c r="N81" s="18"/>
      <c r="O81" s="18" t="e">
        <f>#REF!+O80</f>
        <v>#REF!</v>
      </c>
      <c r="P81" s="18" t="e">
        <f t="shared" ref="P81:X81" si="75">O81+P80</f>
        <v>#REF!</v>
      </c>
      <c r="Q81" s="18" t="e">
        <f t="shared" si="75"/>
        <v>#REF!</v>
      </c>
      <c r="R81" s="18" t="e">
        <f t="shared" si="75"/>
        <v>#REF!</v>
      </c>
      <c r="S81" s="18" t="e">
        <f t="shared" si="75"/>
        <v>#REF!</v>
      </c>
      <c r="T81" s="18" t="e">
        <f t="shared" si="75"/>
        <v>#REF!</v>
      </c>
      <c r="U81" s="18" t="e">
        <f t="shared" si="75"/>
        <v>#REF!</v>
      </c>
      <c r="V81" s="18" t="e">
        <f t="shared" si="75"/>
        <v>#REF!</v>
      </c>
      <c r="W81" s="18" t="e">
        <f t="shared" si="75"/>
        <v>#REF!</v>
      </c>
      <c r="X81" s="18" t="e">
        <f t="shared" si="75"/>
        <v>#REF!</v>
      </c>
      <c r="Y81" s="4"/>
      <c r="Z81" s="4"/>
      <c r="AA81" s="4"/>
      <c r="AD81" s="9"/>
      <c r="AE81" s="9"/>
      <c r="AF81" s="9"/>
      <c r="AG81" s="9"/>
      <c r="AH81" s="9"/>
      <c r="AI81" s="9"/>
      <c r="AJ81" s="9"/>
      <c r="AK81" s="9"/>
      <c r="AL81" s="9"/>
      <c r="AM81" s="9"/>
      <c r="AN81" s="9"/>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c r="BP81" s="547"/>
      <c r="BQ81" s="547"/>
      <c r="BR81" s="547"/>
      <c r="BS81" s="547"/>
      <c r="BT81" s="547"/>
      <c r="BU81" s="547"/>
      <c r="BV81" s="547"/>
      <c r="BW81" s="547"/>
      <c r="BX81" s="547"/>
      <c r="BY81" s="547"/>
      <c r="BZ81" s="547"/>
      <c r="CA81" s="547"/>
      <c r="CB81" s="547"/>
      <c r="CC81" s="547"/>
    </row>
    <row r="82" spans="1:81">
      <c r="A82" s="34"/>
      <c r="C82" t="s">
        <v>957</v>
      </c>
      <c r="E82" s="14"/>
      <c r="F82" s="14" t="e">
        <f t="shared" ref="F82:M82" si="76">F79-F81</f>
        <v>#REF!</v>
      </c>
      <c r="G82" s="14" t="e">
        <f t="shared" si="76"/>
        <v>#REF!</v>
      </c>
      <c r="H82" s="14" t="e">
        <f t="shared" si="76"/>
        <v>#REF!</v>
      </c>
      <c r="I82" s="14" t="e">
        <f t="shared" si="76"/>
        <v>#REF!</v>
      </c>
      <c r="J82" s="14" t="e">
        <f t="shared" si="76"/>
        <v>#REF!</v>
      </c>
      <c r="K82" s="14" t="e">
        <f t="shared" si="76"/>
        <v>#REF!</v>
      </c>
      <c r="L82" s="14" t="e">
        <f t="shared" si="76"/>
        <v>#REF!</v>
      </c>
      <c r="M82" s="14" t="e">
        <f t="shared" si="76"/>
        <v>#REF!</v>
      </c>
      <c r="N82" s="14"/>
      <c r="O82" s="14" t="e">
        <f t="shared" ref="O82:X82" si="77">O79-O81</f>
        <v>#REF!</v>
      </c>
      <c r="P82" s="14" t="e">
        <f t="shared" si="77"/>
        <v>#REF!</v>
      </c>
      <c r="Q82" s="14" t="e">
        <f t="shared" si="77"/>
        <v>#REF!</v>
      </c>
      <c r="R82" s="14" t="e">
        <f t="shared" si="77"/>
        <v>#REF!</v>
      </c>
      <c r="S82" s="14" t="e">
        <f t="shared" si="77"/>
        <v>#REF!</v>
      </c>
      <c r="T82" s="14" t="e">
        <f t="shared" si="77"/>
        <v>#REF!</v>
      </c>
      <c r="U82" s="14" t="e">
        <f t="shared" si="77"/>
        <v>#REF!</v>
      </c>
      <c r="V82" s="14" t="e">
        <f t="shared" si="77"/>
        <v>#REF!</v>
      </c>
      <c r="W82" s="14" t="e">
        <f t="shared" si="77"/>
        <v>#REF!</v>
      </c>
      <c r="X82" s="14" t="e">
        <f t="shared" si="77"/>
        <v>#REF!</v>
      </c>
      <c r="AD82" s="9"/>
      <c r="AE82" s="9"/>
      <c r="AF82" s="9"/>
      <c r="AG82" s="9"/>
      <c r="AH82" s="9"/>
      <c r="AI82" s="9"/>
      <c r="AJ82" s="9"/>
      <c r="AK82" s="9"/>
      <c r="AL82" s="9"/>
      <c r="AM82" s="9"/>
      <c r="AN82" s="9"/>
      <c r="AO82" s="547"/>
      <c r="AP82" s="547"/>
      <c r="AQ82" s="547"/>
      <c r="AR82" s="547"/>
      <c r="AS82" s="547"/>
      <c r="AT82" s="547"/>
      <c r="AU82" s="547"/>
      <c r="AV82" s="547"/>
      <c r="AW82" s="547"/>
      <c r="AX82" s="547"/>
      <c r="AY82" s="547"/>
      <c r="AZ82" s="547"/>
      <c r="BA82" s="547"/>
      <c r="BB82" s="547"/>
      <c r="BC82" s="547"/>
      <c r="BD82" s="547"/>
      <c r="BE82" s="547"/>
      <c r="BF82" s="547"/>
      <c r="BG82" s="547"/>
      <c r="BH82" s="547"/>
      <c r="BI82" s="547"/>
      <c r="BJ82" s="547"/>
      <c r="BK82" s="547"/>
      <c r="BL82" s="547"/>
      <c r="BM82" s="547"/>
      <c r="BN82" s="547"/>
      <c r="BO82" s="547"/>
      <c r="BP82" s="547"/>
      <c r="BQ82" s="547"/>
      <c r="BR82" s="547"/>
      <c r="BS82" s="547"/>
      <c r="BT82" s="547"/>
      <c r="BU82" s="547"/>
      <c r="BV82" s="547"/>
      <c r="BW82" s="547"/>
      <c r="BX82" s="547"/>
      <c r="BY82" s="547"/>
      <c r="BZ82" s="547"/>
      <c r="CA82" s="547"/>
      <c r="CB82" s="547"/>
      <c r="CC82" s="547"/>
    </row>
    <row r="83" spans="1:81">
      <c r="A83" s="34"/>
      <c r="C83" t="s">
        <v>159</v>
      </c>
      <c r="E83" s="14"/>
      <c r="F83" s="18" t="e">
        <f>'4_Fin-Stat'!#REF!</f>
        <v>#REF!</v>
      </c>
      <c r="G83" s="18" t="e">
        <f>'4_Fin-Stat'!#REF!</f>
        <v>#REF!</v>
      </c>
      <c r="H83" s="18" t="e">
        <f>'4_Fin-Stat'!#REF!</f>
        <v>#REF!</v>
      </c>
      <c r="I83" s="18" t="e">
        <f>'4_Fin-Stat'!#REF!</f>
        <v>#REF!</v>
      </c>
      <c r="J83" s="18" t="e">
        <f>'4_Fin-Stat'!#REF!</f>
        <v>#REF!</v>
      </c>
      <c r="K83" s="18" t="e">
        <f>'4_Fin-Stat'!#REF!</f>
        <v>#REF!</v>
      </c>
      <c r="L83" s="18" t="e">
        <f>'4_Fin-Stat'!#REF!</f>
        <v>#REF!</v>
      </c>
      <c r="M83" s="18" t="e">
        <f>'4_Fin-Stat'!#REF!</f>
        <v>#REF!</v>
      </c>
      <c r="N83" s="18"/>
      <c r="O83" s="18" t="e">
        <f>'4_Fin-Stat'!#REF!</f>
        <v>#REF!</v>
      </c>
      <c r="P83" s="18" t="e">
        <f>'4_Fin-Stat'!#REF!</f>
        <v>#REF!</v>
      </c>
      <c r="Q83" s="18" t="e">
        <f>'4_Fin-Stat'!#REF!</f>
        <v>#REF!</v>
      </c>
      <c r="R83" s="18" t="e">
        <f>'4_Fin-Stat'!#REF!</f>
        <v>#REF!</v>
      </c>
      <c r="S83" s="18" t="e">
        <f>'4_Fin-Stat'!#REF!</f>
        <v>#REF!</v>
      </c>
      <c r="T83" s="18" t="e">
        <f>'4_Fin-Stat'!#REF!</f>
        <v>#REF!</v>
      </c>
      <c r="U83" s="18" t="e">
        <f>'4_Fin-Stat'!#REF!</f>
        <v>#REF!</v>
      </c>
      <c r="V83" s="18" t="e">
        <f>'4_Fin-Stat'!#REF!</f>
        <v>#REF!</v>
      </c>
      <c r="W83" s="18" t="e">
        <f>'4_Fin-Stat'!#REF!</f>
        <v>#REF!</v>
      </c>
      <c r="X83" s="18" t="e">
        <f>'4_Fin-Stat'!#REF!</f>
        <v>#REF!</v>
      </c>
      <c r="Y83" s="4"/>
      <c r="Z83" s="4"/>
      <c r="AA83" s="4"/>
      <c r="AD83" s="9"/>
      <c r="AE83" s="9"/>
      <c r="AF83" s="9"/>
      <c r="AG83" s="9"/>
      <c r="AH83" s="9"/>
      <c r="AI83" s="9"/>
      <c r="AJ83" s="9"/>
      <c r="AK83" s="9"/>
      <c r="AL83" s="9"/>
      <c r="AM83" s="9"/>
      <c r="AN83" s="9"/>
      <c r="AO83" s="547"/>
      <c r="AP83" s="547"/>
      <c r="AQ83" s="547"/>
      <c r="AR83" s="547"/>
      <c r="AS83" s="547"/>
      <c r="AT83" s="547"/>
      <c r="AU83" s="547"/>
      <c r="AV83" s="547"/>
      <c r="AW83" s="547"/>
      <c r="AX83" s="547"/>
      <c r="AY83" s="547"/>
      <c r="AZ83" s="547"/>
      <c r="BA83" s="547"/>
      <c r="BB83" s="547"/>
      <c r="BC83" s="547"/>
      <c r="BD83" s="547"/>
      <c r="BE83" s="547"/>
      <c r="BF83" s="547"/>
      <c r="BG83" s="547"/>
      <c r="BH83" s="547"/>
      <c r="BI83" s="547"/>
      <c r="BJ83" s="547"/>
      <c r="BK83" s="547"/>
      <c r="BL83" s="547"/>
      <c r="BM83" s="547"/>
      <c r="BN83" s="547"/>
      <c r="BO83" s="547"/>
      <c r="BP83" s="547"/>
      <c r="BQ83" s="547"/>
      <c r="BR83" s="547"/>
      <c r="BS83" s="547"/>
      <c r="BT83" s="547"/>
      <c r="BU83" s="547"/>
      <c r="BV83" s="547"/>
      <c r="BW83" s="547"/>
      <c r="BX83" s="547"/>
      <c r="BY83" s="547"/>
      <c r="BZ83" s="547"/>
      <c r="CA83" s="547"/>
      <c r="CB83" s="547"/>
      <c r="CC83" s="547"/>
    </row>
    <row r="84" spans="1:81">
      <c r="A84" s="34"/>
      <c r="C84" t="s">
        <v>158</v>
      </c>
      <c r="E84" s="14"/>
      <c r="F84" s="14" t="e">
        <f t="shared" ref="F84:M84" si="78">+SUM(F81:F83)</f>
        <v>#REF!</v>
      </c>
      <c r="G84" s="14" t="e">
        <f t="shared" si="78"/>
        <v>#REF!</v>
      </c>
      <c r="H84" s="14" t="e">
        <f t="shared" si="78"/>
        <v>#REF!</v>
      </c>
      <c r="I84" s="14" t="e">
        <f t="shared" si="78"/>
        <v>#REF!</v>
      </c>
      <c r="J84" s="14" t="e">
        <f t="shared" si="78"/>
        <v>#REF!</v>
      </c>
      <c r="K84" s="14" t="e">
        <f t="shared" si="78"/>
        <v>#REF!</v>
      </c>
      <c r="L84" s="14" t="e">
        <f t="shared" si="78"/>
        <v>#REF!</v>
      </c>
      <c r="M84" s="14" t="e">
        <f t="shared" si="78"/>
        <v>#REF!</v>
      </c>
      <c r="N84" s="14"/>
      <c r="O84" s="14" t="e">
        <f t="shared" ref="O84:X84" si="79">+SUM(O81:O83)</f>
        <v>#REF!</v>
      </c>
      <c r="P84" s="14" t="e">
        <f t="shared" si="79"/>
        <v>#REF!</v>
      </c>
      <c r="Q84" s="14" t="e">
        <f t="shared" si="79"/>
        <v>#REF!</v>
      </c>
      <c r="R84" s="14" t="e">
        <f t="shared" si="79"/>
        <v>#REF!</v>
      </c>
      <c r="S84" s="14" t="e">
        <f t="shared" si="79"/>
        <v>#REF!</v>
      </c>
      <c r="T84" s="14" t="e">
        <f t="shared" si="79"/>
        <v>#REF!</v>
      </c>
      <c r="U84" s="14" t="e">
        <f t="shared" si="79"/>
        <v>#REF!</v>
      </c>
      <c r="V84" s="14" t="e">
        <f t="shared" si="79"/>
        <v>#REF!</v>
      </c>
      <c r="W84" s="14" t="e">
        <f t="shared" si="79"/>
        <v>#REF!</v>
      </c>
      <c r="X84" s="14" t="e">
        <f t="shared" si="79"/>
        <v>#REF!</v>
      </c>
      <c r="AD84" s="9"/>
      <c r="AE84" s="9"/>
      <c r="AF84" s="9"/>
      <c r="AG84" s="9"/>
      <c r="AH84" s="9"/>
      <c r="AI84" s="9"/>
      <c r="AJ84" s="9"/>
      <c r="AK84" s="9"/>
      <c r="AL84" s="9"/>
      <c r="AM84" s="9"/>
      <c r="AN84" s="9"/>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row>
    <row r="85" spans="1:81">
      <c r="A85" s="34"/>
      <c r="C85" t="s">
        <v>935</v>
      </c>
      <c r="E85" s="14"/>
      <c r="F85" s="14" t="e">
        <f>'4_Fin-Stat'!#REF!</f>
        <v>#REF!</v>
      </c>
      <c r="G85" s="14" t="e">
        <f>'4_Fin-Stat'!#REF!</f>
        <v>#REF!</v>
      </c>
      <c r="H85" s="14" t="e">
        <f>'4_Fin-Stat'!#REF!</f>
        <v>#REF!</v>
      </c>
      <c r="I85" s="14" t="e">
        <f>'4_Fin-Stat'!#REF!</f>
        <v>#REF!</v>
      </c>
      <c r="J85" s="14" t="e">
        <f>'4_Fin-Stat'!#REF!</f>
        <v>#REF!</v>
      </c>
      <c r="K85" s="14" t="e">
        <f>'4_Fin-Stat'!#REF!</f>
        <v>#REF!</v>
      </c>
      <c r="L85" s="14" t="e">
        <f>'4_Fin-Stat'!#REF!</f>
        <v>#REF!</v>
      </c>
      <c r="M85" s="14" t="e">
        <f>'4_Fin-Stat'!#REF!</f>
        <v>#REF!</v>
      </c>
      <c r="N85" s="14"/>
      <c r="O85" s="14" t="e">
        <f>'4_Fin-Stat'!#REF!</f>
        <v>#REF!</v>
      </c>
      <c r="P85" s="14" t="e">
        <f>'4_Fin-Stat'!#REF!</f>
        <v>#REF!</v>
      </c>
      <c r="Q85" s="14" t="e">
        <f>'4_Fin-Stat'!#REF!</f>
        <v>#REF!</v>
      </c>
      <c r="R85" s="14" t="e">
        <f>'4_Fin-Stat'!#REF!</f>
        <v>#REF!</v>
      </c>
      <c r="S85" s="14" t="e">
        <f>'4_Fin-Stat'!#REF!</f>
        <v>#REF!</v>
      </c>
      <c r="T85" s="14" t="e">
        <f>'4_Fin-Stat'!#REF!</f>
        <v>#REF!</v>
      </c>
      <c r="U85" s="14" t="e">
        <f>'4_Fin-Stat'!#REF!</f>
        <v>#REF!</v>
      </c>
      <c r="V85" s="14" t="e">
        <f>'4_Fin-Stat'!#REF!</f>
        <v>#REF!</v>
      </c>
      <c r="W85" s="14" t="e">
        <f>'4_Fin-Stat'!#REF!</f>
        <v>#REF!</v>
      </c>
      <c r="X85" s="14" t="e">
        <f>'4_Fin-Stat'!#REF!</f>
        <v>#REF!</v>
      </c>
      <c r="AD85" s="9"/>
      <c r="AE85" s="9"/>
      <c r="AF85" s="9"/>
      <c r="AG85" s="9"/>
      <c r="AH85" s="9"/>
      <c r="AI85" s="9"/>
      <c r="AJ85" s="9"/>
      <c r="AK85" s="9"/>
      <c r="AL85" s="9"/>
      <c r="AM85" s="9"/>
      <c r="AN85" s="9"/>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row>
    <row r="86" spans="1:81" ht="13.5" thickBot="1">
      <c r="A86" s="34"/>
      <c r="C86" t="s">
        <v>164</v>
      </c>
      <c r="E86" s="14"/>
      <c r="F86" s="489" t="e">
        <f t="shared" ref="F86:M86" si="80">F84+F85</f>
        <v>#REF!</v>
      </c>
      <c r="G86" s="489" t="e">
        <f t="shared" si="80"/>
        <v>#REF!</v>
      </c>
      <c r="H86" s="489" t="e">
        <f t="shared" si="80"/>
        <v>#REF!</v>
      </c>
      <c r="I86" s="489" t="e">
        <f t="shared" si="80"/>
        <v>#REF!</v>
      </c>
      <c r="J86" s="489" t="e">
        <f t="shared" si="80"/>
        <v>#REF!</v>
      </c>
      <c r="K86" s="489" t="e">
        <f t="shared" si="80"/>
        <v>#REF!</v>
      </c>
      <c r="L86" s="489" t="e">
        <f t="shared" si="80"/>
        <v>#REF!</v>
      </c>
      <c r="M86" s="489" t="e">
        <f t="shared" si="80"/>
        <v>#REF!</v>
      </c>
      <c r="N86" s="489"/>
      <c r="O86" s="489" t="e">
        <f t="shared" ref="O86:X86" si="81">O84+O85</f>
        <v>#REF!</v>
      </c>
      <c r="P86" s="489" t="e">
        <f t="shared" si="81"/>
        <v>#REF!</v>
      </c>
      <c r="Q86" s="489" t="e">
        <f t="shared" si="81"/>
        <v>#REF!</v>
      </c>
      <c r="R86" s="489" t="e">
        <f t="shared" si="81"/>
        <v>#REF!</v>
      </c>
      <c r="S86" s="489" t="e">
        <f t="shared" si="81"/>
        <v>#REF!</v>
      </c>
      <c r="T86" s="489" t="e">
        <f t="shared" si="81"/>
        <v>#REF!</v>
      </c>
      <c r="U86" s="489" t="e">
        <f t="shared" si="81"/>
        <v>#REF!</v>
      </c>
      <c r="V86" s="489" t="e">
        <f t="shared" si="81"/>
        <v>#REF!</v>
      </c>
      <c r="W86" s="489" t="e">
        <f t="shared" si="81"/>
        <v>#REF!</v>
      </c>
      <c r="X86" s="489" t="e">
        <f t="shared" si="81"/>
        <v>#REF!</v>
      </c>
      <c r="Y86" s="587"/>
      <c r="Z86" s="587"/>
      <c r="AA86" s="587"/>
      <c r="AD86" s="9"/>
      <c r="AE86" s="9"/>
      <c r="AF86" s="9"/>
      <c r="AG86" s="9"/>
      <c r="AH86" s="9"/>
      <c r="AI86" s="9"/>
      <c r="AJ86" s="9"/>
      <c r="AK86" s="9"/>
      <c r="AL86" s="9"/>
      <c r="AM86" s="9"/>
      <c r="AN86" s="9"/>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row>
    <row r="87" spans="1:81" ht="13.5" thickTop="1">
      <c r="A87" s="34">
        <v>2</v>
      </c>
      <c r="C87" s="88" t="s">
        <v>1073</v>
      </c>
      <c r="D87" s="88"/>
      <c r="E87" s="594"/>
      <c r="F87" s="14"/>
      <c r="G87" s="14"/>
      <c r="H87" s="14"/>
      <c r="I87" s="14"/>
      <c r="J87" s="14"/>
      <c r="K87" s="14"/>
      <c r="L87" s="14"/>
      <c r="M87" s="14"/>
      <c r="N87" s="14"/>
      <c r="O87" s="14"/>
      <c r="P87" s="14"/>
      <c r="Q87" s="14"/>
      <c r="R87" s="14"/>
      <c r="S87" s="9"/>
      <c r="AD87" s="9"/>
      <c r="AE87" s="9"/>
      <c r="AF87" s="9"/>
      <c r="AG87" s="9"/>
      <c r="AH87" s="9"/>
      <c r="AI87" s="9"/>
      <c r="AJ87" s="9"/>
      <c r="AK87" s="9"/>
      <c r="AL87" s="9"/>
      <c r="AM87" s="9"/>
      <c r="AN87" s="9"/>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row>
    <row r="88" spans="1:81">
      <c r="A88" s="34"/>
      <c r="C88" t="s">
        <v>204</v>
      </c>
      <c r="E88" s="14"/>
      <c r="F88" s="14" t="e">
        <f t="shared" ref="F88:M88" si="82">F82</f>
        <v>#REF!</v>
      </c>
      <c r="G88" s="14" t="e">
        <f t="shared" si="82"/>
        <v>#REF!</v>
      </c>
      <c r="H88" s="14" t="e">
        <f t="shared" si="82"/>
        <v>#REF!</v>
      </c>
      <c r="I88" s="14" t="e">
        <f t="shared" si="82"/>
        <v>#REF!</v>
      </c>
      <c r="J88" s="14" t="e">
        <f t="shared" si="82"/>
        <v>#REF!</v>
      </c>
      <c r="K88" s="14" t="e">
        <f t="shared" si="82"/>
        <v>#REF!</v>
      </c>
      <c r="L88" s="14" t="e">
        <f t="shared" si="82"/>
        <v>#REF!</v>
      </c>
      <c r="M88" s="14" t="e">
        <f t="shared" si="82"/>
        <v>#REF!</v>
      </c>
      <c r="N88" s="14"/>
      <c r="O88" s="14" t="e">
        <f t="shared" ref="O88:X88" si="83">O82</f>
        <v>#REF!</v>
      </c>
      <c r="P88" s="14" t="e">
        <f t="shared" si="83"/>
        <v>#REF!</v>
      </c>
      <c r="Q88" s="14" t="e">
        <f t="shared" si="83"/>
        <v>#REF!</v>
      </c>
      <c r="R88" s="14" t="e">
        <f t="shared" si="83"/>
        <v>#REF!</v>
      </c>
      <c r="S88" s="14" t="e">
        <f t="shared" si="83"/>
        <v>#REF!</v>
      </c>
      <c r="T88" s="14" t="e">
        <f t="shared" si="83"/>
        <v>#REF!</v>
      </c>
      <c r="U88" s="14" t="e">
        <f t="shared" si="83"/>
        <v>#REF!</v>
      </c>
      <c r="V88" s="14" t="e">
        <f t="shared" si="83"/>
        <v>#REF!</v>
      </c>
      <c r="W88" s="14" t="e">
        <f t="shared" si="83"/>
        <v>#REF!</v>
      </c>
      <c r="X88" s="14" t="e">
        <f t="shared" si="83"/>
        <v>#REF!</v>
      </c>
      <c r="AD88" s="9"/>
      <c r="AE88" s="9"/>
      <c r="AF88" s="9"/>
      <c r="AG88" s="9"/>
      <c r="AH88" s="9"/>
      <c r="AI88" s="9"/>
      <c r="AJ88" s="9"/>
      <c r="AK88" s="9"/>
      <c r="AL88" s="9"/>
      <c r="AM88" s="9"/>
      <c r="AN88" s="9"/>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row>
    <row r="89" spans="1:81">
      <c r="A89" s="34"/>
      <c r="C89" t="s">
        <v>940</v>
      </c>
      <c r="E89" s="14"/>
      <c r="F89" s="14">
        <f t="shared" ref="F89:M89" si="84">F81</f>
        <v>-2552</v>
      </c>
      <c r="G89" s="14">
        <f t="shared" si="84"/>
        <v>-29974</v>
      </c>
      <c r="H89" s="14">
        <f t="shared" si="84"/>
        <v>-51540</v>
      </c>
      <c r="I89" s="14">
        <f t="shared" si="84"/>
        <v>77802</v>
      </c>
      <c r="J89" s="14">
        <f t="shared" si="84"/>
        <v>20105</v>
      </c>
      <c r="K89" s="14">
        <f t="shared" si="84"/>
        <v>-61835</v>
      </c>
      <c r="L89" s="559">
        <f t="shared" si="84"/>
        <v>-155990</v>
      </c>
      <c r="M89" s="559">
        <f t="shared" si="84"/>
        <v>-224959</v>
      </c>
      <c r="N89" s="559"/>
      <c r="O89" s="559" t="e">
        <f t="shared" ref="O89:X89" si="85">O81</f>
        <v>#REF!</v>
      </c>
      <c r="P89" s="559" t="e">
        <f t="shared" si="85"/>
        <v>#REF!</v>
      </c>
      <c r="Q89" s="559" t="e">
        <f t="shared" si="85"/>
        <v>#REF!</v>
      </c>
      <c r="R89" s="559" t="e">
        <f t="shared" si="85"/>
        <v>#REF!</v>
      </c>
      <c r="S89" s="559" t="e">
        <f t="shared" si="85"/>
        <v>#REF!</v>
      </c>
      <c r="T89" s="559" t="e">
        <f t="shared" si="85"/>
        <v>#REF!</v>
      </c>
      <c r="U89" s="559" t="e">
        <f t="shared" si="85"/>
        <v>#REF!</v>
      </c>
      <c r="V89" s="559" t="e">
        <f t="shared" si="85"/>
        <v>#REF!</v>
      </c>
      <c r="W89" s="559" t="e">
        <f t="shared" si="85"/>
        <v>#REF!</v>
      </c>
      <c r="X89" s="559" t="e">
        <f t="shared" si="85"/>
        <v>#REF!</v>
      </c>
      <c r="AD89" s="9"/>
      <c r="AE89" s="9"/>
      <c r="AF89" s="9"/>
      <c r="AG89" s="9"/>
      <c r="AH89" s="9"/>
      <c r="AI89" s="9"/>
      <c r="AJ89" s="9"/>
      <c r="AK89" s="9"/>
      <c r="AL89" s="9"/>
      <c r="AM89" s="9"/>
      <c r="AN89" s="9"/>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row>
    <row r="90" spans="1:81">
      <c r="A90" s="34"/>
      <c r="C90" t="s">
        <v>959</v>
      </c>
      <c r="E90" s="14"/>
      <c r="F90" s="14">
        <f t="shared" ref="F90:M90" si="86">-F89</f>
        <v>2552</v>
      </c>
      <c r="G90" s="14">
        <f t="shared" si="86"/>
        <v>29974</v>
      </c>
      <c r="H90" s="14">
        <f t="shared" si="86"/>
        <v>51540</v>
      </c>
      <c r="I90" s="14">
        <f t="shared" si="86"/>
        <v>-77802</v>
      </c>
      <c r="J90" s="14">
        <f t="shared" si="86"/>
        <v>-20105</v>
      </c>
      <c r="K90" s="14">
        <f t="shared" si="86"/>
        <v>61835</v>
      </c>
      <c r="L90" s="14">
        <f t="shared" si="86"/>
        <v>155990</v>
      </c>
      <c r="M90" s="14">
        <f t="shared" si="86"/>
        <v>224959</v>
      </c>
      <c r="N90" s="14"/>
      <c r="O90" s="14" t="e">
        <f t="shared" ref="O90:X90" si="87">-O89</f>
        <v>#REF!</v>
      </c>
      <c r="P90" s="14" t="e">
        <f t="shared" si="87"/>
        <v>#REF!</v>
      </c>
      <c r="Q90" s="14" t="e">
        <f t="shared" si="87"/>
        <v>#REF!</v>
      </c>
      <c r="R90" s="14" t="e">
        <f t="shared" si="87"/>
        <v>#REF!</v>
      </c>
      <c r="S90" s="14" t="e">
        <f t="shared" si="87"/>
        <v>#REF!</v>
      </c>
      <c r="T90" s="14" t="e">
        <f t="shared" si="87"/>
        <v>#REF!</v>
      </c>
      <c r="U90" s="14" t="e">
        <f t="shared" si="87"/>
        <v>#REF!</v>
      </c>
      <c r="V90" s="14" t="e">
        <f t="shared" si="87"/>
        <v>#REF!</v>
      </c>
      <c r="W90" s="14" t="e">
        <f t="shared" si="87"/>
        <v>#REF!</v>
      </c>
      <c r="X90" s="14" t="e">
        <f t="shared" si="87"/>
        <v>#REF!</v>
      </c>
      <c r="AD90" s="9"/>
      <c r="AE90" s="9"/>
      <c r="AF90" s="9"/>
      <c r="AG90" s="9"/>
      <c r="AH90" s="9"/>
      <c r="AI90" s="9"/>
      <c r="AJ90" s="9"/>
      <c r="AK90" s="9"/>
      <c r="AL90" s="9"/>
      <c r="AM90" s="9"/>
      <c r="AN90" s="9"/>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row>
    <row r="91" spans="1:81">
      <c r="A91" s="34"/>
      <c r="C91" t="s">
        <v>159</v>
      </c>
      <c r="F91" s="18" t="e">
        <f t="shared" ref="F91:M91" si="88">F83</f>
        <v>#REF!</v>
      </c>
      <c r="G91" s="18" t="e">
        <f t="shared" si="88"/>
        <v>#REF!</v>
      </c>
      <c r="H91" s="18" t="e">
        <f t="shared" si="88"/>
        <v>#REF!</v>
      </c>
      <c r="I91" s="18" t="e">
        <f t="shared" si="88"/>
        <v>#REF!</v>
      </c>
      <c r="J91" s="18" t="e">
        <f t="shared" si="88"/>
        <v>#REF!</v>
      </c>
      <c r="K91" s="18" t="e">
        <f t="shared" si="88"/>
        <v>#REF!</v>
      </c>
      <c r="L91" s="18" t="e">
        <f t="shared" si="88"/>
        <v>#REF!</v>
      </c>
      <c r="M91" s="18" t="e">
        <f t="shared" si="88"/>
        <v>#REF!</v>
      </c>
      <c r="N91" s="18"/>
      <c r="O91" s="18" t="e">
        <f t="shared" ref="O91:X91" si="89">O83</f>
        <v>#REF!</v>
      </c>
      <c r="P91" s="18" t="e">
        <f t="shared" si="89"/>
        <v>#REF!</v>
      </c>
      <c r="Q91" s="18" t="e">
        <f t="shared" si="89"/>
        <v>#REF!</v>
      </c>
      <c r="R91" s="18" t="e">
        <f t="shared" si="89"/>
        <v>#REF!</v>
      </c>
      <c r="S91" s="18" t="e">
        <f t="shared" si="89"/>
        <v>#REF!</v>
      </c>
      <c r="T91" s="18" t="e">
        <f t="shared" si="89"/>
        <v>#REF!</v>
      </c>
      <c r="U91" s="18" t="e">
        <f t="shared" si="89"/>
        <v>#REF!</v>
      </c>
      <c r="V91" s="18" t="e">
        <f t="shared" si="89"/>
        <v>#REF!</v>
      </c>
      <c r="W91" s="18" t="e">
        <f t="shared" si="89"/>
        <v>#REF!</v>
      </c>
      <c r="X91" s="18" t="e">
        <f t="shared" si="89"/>
        <v>#REF!</v>
      </c>
      <c r="Y91" s="4"/>
      <c r="Z91" s="4"/>
      <c r="AA91" s="4"/>
      <c r="AD91" s="9"/>
      <c r="AE91" s="9"/>
      <c r="AF91" s="9"/>
      <c r="AG91" s="9"/>
      <c r="AH91" s="9"/>
      <c r="AI91" s="9"/>
      <c r="AJ91" s="9"/>
      <c r="AK91" s="9"/>
      <c r="AL91" s="9"/>
      <c r="AM91" s="9"/>
      <c r="AN91" s="9"/>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7"/>
      <c r="BU91" s="547"/>
      <c r="BV91" s="547"/>
      <c r="BW91" s="547"/>
      <c r="BX91" s="547"/>
      <c r="BY91" s="547"/>
      <c r="BZ91" s="547"/>
      <c r="CA91" s="547"/>
      <c r="CB91" s="547"/>
      <c r="CC91" s="547"/>
    </row>
    <row r="92" spans="1:81">
      <c r="A92" s="34"/>
      <c r="C92" s="16" t="s">
        <v>158</v>
      </c>
      <c r="D92" s="16"/>
      <c r="E92" s="14"/>
      <c r="F92" s="14" t="e">
        <f t="shared" ref="F92:M92" si="90">SUM(F88:F91)</f>
        <v>#REF!</v>
      </c>
      <c r="G92" s="14" t="e">
        <f t="shared" si="90"/>
        <v>#REF!</v>
      </c>
      <c r="H92" s="14" t="e">
        <f t="shared" si="90"/>
        <v>#REF!</v>
      </c>
      <c r="I92" s="14" t="e">
        <f t="shared" si="90"/>
        <v>#REF!</v>
      </c>
      <c r="J92" s="14" t="e">
        <f t="shared" si="90"/>
        <v>#REF!</v>
      </c>
      <c r="K92" s="14" t="e">
        <f t="shared" si="90"/>
        <v>#REF!</v>
      </c>
      <c r="L92" s="14" t="e">
        <f t="shared" si="90"/>
        <v>#REF!</v>
      </c>
      <c r="M92" s="14" t="e">
        <f t="shared" si="90"/>
        <v>#REF!</v>
      </c>
      <c r="N92" s="14"/>
      <c r="O92" s="14" t="e">
        <f t="shared" ref="O92:X92" si="91">SUM(O88:O91)</f>
        <v>#REF!</v>
      </c>
      <c r="P92" s="14" t="e">
        <f t="shared" si="91"/>
        <v>#REF!</v>
      </c>
      <c r="Q92" s="14" t="e">
        <f t="shared" si="91"/>
        <v>#REF!</v>
      </c>
      <c r="R92" s="14" t="e">
        <f t="shared" si="91"/>
        <v>#REF!</v>
      </c>
      <c r="S92" s="14" t="e">
        <f t="shared" si="91"/>
        <v>#REF!</v>
      </c>
      <c r="T92" s="14" t="e">
        <f t="shared" si="91"/>
        <v>#REF!</v>
      </c>
      <c r="U92" s="14" t="e">
        <f t="shared" si="91"/>
        <v>#REF!</v>
      </c>
      <c r="V92" s="14" t="e">
        <f t="shared" si="91"/>
        <v>#REF!</v>
      </c>
      <c r="W92" s="14" t="e">
        <f t="shared" si="91"/>
        <v>#REF!</v>
      </c>
      <c r="X92" s="14" t="e">
        <f t="shared" si="91"/>
        <v>#REF!</v>
      </c>
      <c r="AD92" s="9"/>
      <c r="AE92" s="9"/>
      <c r="AF92" s="9"/>
      <c r="AG92" s="9"/>
      <c r="AH92" s="9"/>
      <c r="AI92" s="9"/>
      <c r="AJ92" s="9"/>
      <c r="AK92" s="9"/>
      <c r="AL92" s="9"/>
      <c r="AM92" s="9"/>
      <c r="AN92" s="9"/>
      <c r="AO92" s="547"/>
      <c r="AP92" s="547"/>
      <c r="AQ92" s="547"/>
      <c r="AR92" s="547"/>
      <c r="AS92" s="547"/>
      <c r="AT92" s="547"/>
      <c r="AU92" s="547"/>
      <c r="AV92" s="547"/>
      <c r="AW92" s="547"/>
      <c r="AX92" s="547"/>
      <c r="AY92" s="547"/>
      <c r="AZ92" s="547"/>
      <c r="BA92" s="547"/>
      <c r="BB92" s="547"/>
      <c r="BC92" s="547"/>
      <c r="BD92" s="547"/>
      <c r="BE92" s="547"/>
      <c r="BF92" s="547"/>
      <c r="BG92" s="547"/>
      <c r="BH92" s="547"/>
      <c r="BI92" s="547"/>
      <c r="BJ92" s="547"/>
      <c r="BK92" s="547"/>
      <c r="BL92" s="547"/>
      <c r="BM92" s="547"/>
      <c r="BN92" s="547"/>
      <c r="BO92" s="547"/>
      <c r="BP92" s="547"/>
      <c r="BQ92" s="547"/>
      <c r="BR92" s="547"/>
      <c r="BS92" s="547"/>
      <c r="BT92" s="547"/>
      <c r="BU92" s="547"/>
      <c r="BV92" s="547"/>
      <c r="BW92" s="547"/>
      <c r="BX92" s="547"/>
      <c r="BY92" s="547"/>
      <c r="BZ92" s="547"/>
      <c r="CA92" s="547"/>
      <c r="CB92" s="547"/>
      <c r="CC92" s="547"/>
    </row>
    <row r="93" spans="1:81">
      <c r="A93" s="34"/>
      <c r="C93" t="s">
        <v>960</v>
      </c>
      <c r="E93" s="14"/>
      <c r="F93" s="14" t="e">
        <f t="shared" ref="F93:M93" si="92">F85</f>
        <v>#REF!</v>
      </c>
      <c r="G93" s="14" t="e">
        <f t="shared" si="92"/>
        <v>#REF!</v>
      </c>
      <c r="H93" s="14" t="e">
        <f t="shared" si="92"/>
        <v>#REF!</v>
      </c>
      <c r="I93" s="14" t="e">
        <f t="shared" si="92"/>
        <v>#REF!</v>
      </c>
      <c r="J93" s="14" t="e">
        <f t="shared" si="92"/>
        <v>#REF!</v>
      </c>
      <c r="K93" s="14" t="e">
        <f t="shared" si="92"/>
        <v>#REF!</v>
      </c>
      <c r="L93" s="14" t="e">
        <f t="shared" si="92"/>
        <v>#REF!</v>
      </c>
      <c r="M93" s="14" t="e">
        <f t="shared" si="92"/>
        <v>#REF!</v>
      </c>
      <c r="N93" s="14"/>
      <c r="O93" s="14" t="e">
        <f t="shared" ref="O93:X93" si="93">O85</f>
        <v>#REF!</v>
      </c>
      <c r="P93" s="14" t="e">
        <f t="shared" si="93"/>
        <v>#REF!</v>
      </c>
      <c r="Q93" s="14" t="e">
        <f t="shared" si="93"/>
        <v>#REF!</v>
      </c>
      <c r="R93" s="14" t="e">
        <f t="shared" si="93"/>
        <v>#REF!</v>
      </c>
      <c r="S93" s="14" t="e">
        <f t="shared" si="93"/>
        <v>#REF!</v>
      </c>
      <c r="T93" s="14" t="e">
        <f t="shared" si="93"/>
        <v>#REF!</v>
      </c>
      <c r="U93" s="14" t="e">
        <f t="shared" si="93"/>
        <v>#REF!</v>
      </c>
      <c r="V93" s="14" t="e">
        <f t="shared" si="93"/>
        <v>#REF!</v>
      </c>
      <c r="W93" s="14" t="e">
        <f t="shared" si="93"/>
        <v>#REF!</v>
      </c>
      <c r="X93" s="14" t="e">
        <f t="shared" si="93"/>
        <v>#REF!</v>
      </c>
      <c r="AD93" s="9">
        <f t="shared" ref="AD93:AN93" si="94">SUM(AD90:AD92)</f>
        <v>0</v>
      </c>
      <c r="AE93" s="9">
        <f t="shared" si="94"/>
        <v>0</v>
      </c>
      <c r="AF93" s="9">
        <f t="shared" si="94"/>
        <v>0</v>
      </c>
      <c r="AG93" s="9">
        <f t="shared" si="94"/>
        <v>0</v>
      </c>
      <c r="AH93" s="9">
        <f t="shared" si="94"/>
        <v>0</v>
      </c>
      <c r="AI93" s="9">
        <f t="shared" si="94"/>
        <v>0</v>
      </c>
      <c r="AJ93" s="9">
        <f t="shared" si="94"/>
        <v>0</v>
      </c>
      <c r="AK93" s="9">
        <f t="shared" si="94"/>
        <v>0</v>
      </c>
      <c r="AL93" s="9">
        <f t="shared" si="94"/>
        <v>0</v>
      </c>
      <c r="AM93" s="9">
        <f t="shared" si="94"/>
        <v>0</v>
      </c>
      <c r="AN93" s="9">
        <f t="shared" si="94"/>
        <v>0</v>
      </c>
      <c r="AO93" s="547"/>
      <c r="AP93" s="547"/>
      <c r="AQ93" s="547"/>
      <c r="AR93" s="547"/>
      <c r="AS93" s="547"/>
      <c r="AT93" s="547"/>
      <c r="AU93" s="547"/>
      <c r="AV93" s="547"/>
      <c r="AW93" s="547"/>
      <c r="AX93" s="547"/>
      <c r="AY93" s="547"/>
      <c r="AZ93" s="547"/>
      <c r="BA93" s="547"/>
      <c r="BB93" s="547"/>
      <c r="BC93" s="547"/>
      <c r="BD93" s="547"/>
      <c r="BE93" s="547"/>
      <c r="BF93" s="547"/>
      <c r="BG93" s="547"/>
      <c r="BH93" s="547"/>
      <c r="BI93" s="547"/>
      <c r="BJ93" s="547"/>
      <c r="BK93" s="547"/>
      <c r="BL93" s="547"/>
      <c r="BM93" s="547"/>
      <c r="BN93" s="547"/>
      <c r="BO93" s="547"/>
      <c r="BP93" s="547"/>
      <c r="BQ93" s="547"/>
      <c r="BR93" s="547"/>
      <c r="BS93" s="547"/>
      <c r="BT93" s="547"/>
      <c r="BU93" s="547"/>
      <c r="BV93" s="547"/>
      <c r="BW93" s="547"/>
      <c r="BX93" s="547"/>
      <c r="BY93" s="547"/>
      <c r="BZ93" s="547"/>
      <c r="CA93" s="547"/>
      <c r="CB93" s="547"/>
      <c r="CC93" s="547"/>
    </row>
    <row r="94" spans="1:81">
      <c r="A94" s="34"/>
      <c r="C94" t="s">
        <v>961</v>
      </c>
      <c r="E94" s="14"/>
      <c r="F94" s="590">
        <f t="shared" ref="F94:M94" si="95">F101</f>
        <v>0</v>
      </c>
      <c r="G94" s="590" t="e">
        <f t="shared" si="95"/>
        <v>#REF!</v>
      </c>
      <c r="H94" s="590" t="e">
        <f t="shared" si="95"/>
        <v>#REF!</v>
      </c>
      <c r="I94" s="590" t="e">
        <f t="shared" si="95"/>
        <v>#REF!</v>
      </c>
      <c r="J94" s="590" t="e">
        <f t="shared" si="95"/>
        <v>#REF!</v>
      </c>
      <c r="K94" s="590" t="e">
        <f t="shared" si="95"/>
        <v>#REF!</v>
      </c>
      <c r="L94" s="590" t="e">
        <f t="shared" si="95"/>
        <v>#REF!</v>
      </c>
      <c r="M94" s="590" t="e">
        <f t="shared" si="95"/>
        <v>#REF!</v>
      </c>
      <c r="N94" s="590"/>
      <c r="O94" s="590" t="e">
        <f t="shared" ref="O94:X94" si="96">O101</f>
        <v>#REF!</v>
      </c>
      <c r="P94" s="18" t="e">
        <f t="shared" si="96"/>
        <v>#REF!</v>
      </c>
      <c r="Q94" s="18" t="e">
        <f t="shared" si="96"/>
        <v>#REF!</v>
      </c>
      <c r="R94" s="18" t="e">
        <f t="shared" si="96"/>
        <v>#REF!</v>
      </c>
      <c r="S94" s="18" t="e">
        <f t="shared" si="96"/>
        <v>#REF!</v>
      </c>
      <c r="T94" s="18" t="e">
        <f t="shared" si="96"/>
        <v>#REF!</v>
      </c>
      <c r="U94" s="18" t="e">
        <f t="shared" si="96"/>
        <v>#REF!</v>
      </c>
      <c r="V94" s="18" t="e">
        <f t="shared" si="96"/>
        <v>#REF!</v>
      </c>
      <c r="W94" s="18" t="e">
        <f t="shared" si="96"/>
        <v>#REF!</v>
      </c>
      <c r="X94" s="18" t="e">
        <f t="shared" si="96"/>
        <v>#REF!</v>
      </c>
      <c r="Y94" s="4"/>
      <c r="Z94" s="4"/>
      <c r="AA94" s="4"/>
      <c r="AD94" s="9"/>
      <c r="AE94" s="9"/>
      <c r="AF94" s="9"/>
      <c r="AG94" s="9"/>
      <c r="AH94" s="9"/>
      <c r="AI94" s="9"/>
      <c r="AJ94" s="9"/>
      <c r="AK94" s="9"/>
      <c r="AL94" s="9"/>
      <c r="AM94" s="9"/>
      <c r="AN94" s="9"/>
      <c r="AO94" s="547"/>
      <c r="AP94" s="547"/>
      <c r="AQ94" s="547"/>
      <c r="AR94" s="547"/>
      <c r="AS94" s="547"/>
      <c r="AT94" s="547"/>
      <c r="AU94" s="547"/>
      <c r="AV94" s="547"/>
      <c r="AW94" s="547"/>
      <c r="AX94" s="547"/>
      <c r="AY94" s="547"/>
      <c r="AZ94" s="547"/>
      <c r="BA94" s="547"/>
      <c r="BB94" s="547"/>
      <c r="BC94" s="547"/>
      <c r="BD94" s="547"/>
      <c r="BE94" s="547"/>
      <c r="BF94" s="547"/>
      <c r="BG94" s="547"/>
      <c r="BH94" s="547"/>
      <c r="BI94" s="547"/>
      <c r="BJ94" s="547"/>
      <c r="BK94" s="547"/>
      <c r="BL94" s="547"/>
      <c r="BM94" s="547"/>
      <c r="BN94" s="547"/>
      <c r="BO94" s="547"/>
      <c r="BP94" s="547"/>
      <c r="BQ94" s="547"/>
      <c r="BR94" s="547"/>
      <c r="BS94" s="547"/>
      <c r="BT94" s="547"/>
      <c r="BU94" s="547"/>
      <c r="BV94" s="547"/>
      <c r="BW94" s="547"/>
      <c r="BX94" s="547"/>
      <c r="BY94" s="547"/>
      <c r="BZ94" s="547"/>
      <c r="CA94" s="547"/>
      <c r="CB94" s="547"/>
      <c r="CC94" s="547"/>
    </row>
    <row r="95" spans="1:81">
      <c r="A95" s="34"/>
      <c r="C95" t="s">
        <v>943</v>
      </c>
      <c r="E95" s="14"/>
      <c r="F95" s="14" t="e">
        <f t="shared" ref="F95:M95" si="97">F93+F94</f>
        <v>#REF!</v>
      </c>
      <c r="G95" s="14" t="e">
        <f t="shared" si="97"/>
        <v>#REF!</v>
      </c>
      <c r="H95" s="14" t="e">
        <f t="shared" si="97"/>
        <v>#REF!</v>
      </c>
      <c r="I95" s="14" t="e">
        <f t="shared" si="97"/>
        <v>#REF!</v>
      </c>
      <c r="J95" s="14" t="e">
        <f t="shared" si="97"/>
        <v>#REF!</v>
      </c>
      <c r="K95" s="14" t="e">
        <f t="shared" si="97"/>
        <v>#REF!</v>
      </c>
      <c r="L95" s="14" t="e">
        <f t="shared" si="97"/>
        <v>#REF!</v>
      </c>
      <c r="M95" s="14" t="e">
        <f t="shared" si="97"/>
        <v>#REF!</v>
      </c>
      <c r="N95" s="14"/>
      <c r="O95" s="14" t="e">
        <f t="shared" ref="O95:X95" si="98">O93+O94</f>
        <v>#REF!</v>
      </c>
      <c r="P95" s="14" t="e">
        <f t="shared" si="98"/>
        <v>#REF!</v>
      </c>
      <c r="Q95" s="14" t="e">
        <f t="shared" si="98"/>
        <v>#REF!</v>
      </c>
      <c r="R95" s="14" t="e">
        <f t="shared" si="98"/>
        <v>#REF!</v>
      </c>
      <c r="S95" s="14" t="e">
        <f t="shared" si="98"/>
        <v>#REF!</v>
      </c>
      <c r="T95" s="14" t="e">
        <f t="shared" si="98"/>
        <v>#REF!</v>
      </c>
      <c r="U95" s="14" t="e">
        <f t="shared" si="98"/>
        <v>#REF!</v>
      </c>
      <c r="V95" s="14" t="e">
        <f t="shared" si="98"/>
        <v>#REF!</v>
      </c>
      <c r="W95" s="14" t="e">
        <f t="shared" si="98"/>
        <v>#REF!</v>
      </c>
      <c r="X95" s="14" t="e">
        <f t="shared" si="98"/>
        <v>#REF!</v>
      </c>
      <c r="AD95" s="9"/>
      <c r="AE95" s="9"/>
      <c r="AF95" s="9"/>
      <c r="AG95" s="9"/>
      <c r="AH95" s="9"/>
      <c r="AI95" s="9"/>
      <c r="AJ95" s="9"/>
      <c r="AK95" s="9"/>
      <c r="AL95" s="9"/>
      <c r="AM95" s="9"/>
      <c r="AN95" s="9"/>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7"/>
      <c r="BW95" s="547"/>
      <c r="BX95" s="547"/>
      <c r="BY95" s="547"/>
      <c r="BZ95" s="547"/>
      <c r="CA95" s="547"/>
      <c r="CB95" s="547"/>
      <c r="CC95" s="547"/>
    </row>
    <row r="96" spans="1:81" ht="13.5" thickBot="1">
      <c r="A96" s="34"/>
      <c r="C96" s="1" t="s">
        <v>962</v>
      </c>
      <c r="D96" s="1"/>
      <c r="E96" s="14"/>
      <c r="F96" s="489" t="e">
        <f t="shared" ref="F96:M96" si="99">F92+F95</f>
        <v>#REF!</v>
      </c>
      <c r="G96" s="489" t="e">
        <f t="shared" si="99"/>
        <v>#REF!</v>
      </c>
      <c r="H96" s="489" t="e">
        <f t="shared" si="99"/>
        <v>#REF!</v>
      </c>
      <c r="I96" s="489" t="e">
        <f t="shared" si="99"/>
        <v>#REF!</v>
      </c>
      <c r="J96" s="489" t="e">
        <f t="shared" si="99"/>
        <v>#REF!</v>
      </c>
      <c r="K96" s="489" t="e">
        <f t="shared" si="99"/>
        <v>#REF!</v>
      </c>
      <c r="L96" s="489" t="e">
        <f t="shared" si="99"/>
        <v>#REF!</v>
      </c>
      <c r="M96" s="489" t="e">
        <f t="shared" si="99"/>
        <v>#REF!</v>
      </c>
      <c r="N96" s="489"/>
      <c r="O96" s="489" t="e">
        <f t="shared" ref="O96:X96" si="100">O92+O95</f>
        <v>#REF!</v>
      </c>
      <c r="P96" s="489" t="e">
        <f t="shared" si="100"/>
        <v>#REF!</v>
      </c>
      <c r="Q96" s="489" t="e">
        <f t="shared" si="100"/>
        <v>#REF!</v>
      </c>
      <c r="R96" s="489" t="e">
        <f t="shared" si="100"/>
        <v>#REF!</v>
      </c>
      <c r="S96" s="489" t="e">
        <f t="shared" si="100"/>
        <v>#REF!</v>
      </c>
      <c r="T96" s="489" t="e">
        <f t="shared" si="100"/>
        <v>#REF!</v>
      </c>
      <c r="U96" s="489" t="e">
        <f t="shared" si="100"/>
        <v>#REF!</v>
      </c>
      <c r="V96" s="489" t="e">
        <f t="shared" si="100"/>
        <v>#REF!</v>
      </c>
      <c r="W96" s="489" t="e">
        <f t="shared" si="100"/>
        <v>#REF!</v>
      </c>
      <c r="X96" s="489" t="e">
        <f t="shared" si="100"/>
        <v>#REF!</v>
      </c>
      <c r="Y96" s="587"/>
      <c r="Z96" s="587"/>
      <c r="AA96" s="587"/>
      <c r="AD96" s="9"/>
      <c r="AE96" s="9"/>
      <c r="AF96" s="9"/>
      <c r="AG96" s="9"/>
      <c r="AH96" s="9"/>
      <c r="AI96" s="9"/>
      <c r="AJ96" s="9"/>
      <c r="AK96" s="9"/>
      <c r="AL96" s="9"/>
      <c r="AM96" s="9"/>
      <c r="AN96" s="9"/>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7"/>
      <c r="BW96" s="547"/>
      <c r="BX96" s="547"/>
      <c r="BY96" s="547"/>
      <c r="BZ96" s="547"/>
      <c r="CA96" s="547"/>
      <c r="CB96" s="547"/>
      <c r="CC96" s="547"/>
    </row>
    <row r="97" spans="1:81" ht="13.5" thickTop="1">
      <c r="A97" s="34">
        <v>3</v>
      </c>
      <c r="C97" s="582" t="s">
        <v>316</v>
      </c>
      <c r="D97" s="582"/>
      <c r="E97" s="582"/>
      <c r="F97" s="9">
        <v>14452</v>
      </c>
      <c r="G97" s="9">
        <v>48891</v>
      </c>
      <c r="H97" s="9">
        <v>52172</v>
      </c>
      <c r="I97" s="9">
        <v>58584</v>
      </c>
      <c r="J97" s="9">
        <v>59686</v>
      </c>
      <c r="K97" s="9">
        <v>74545</v>
      </c>
      <c r="L97" s="9">
        <v>81309</v>
      </c>
      <c r="M97" s="9">
        <v>77436</v>
      </c>
      <c r="N97" s="9"/>
      <c r="O97" s="9">
        <v>139556</v>
      </c>
      <c r="P97" s="9">
        <v>149793</v>
      </c>
      <c r="Q97" s="9">
        <v>174318</v>
      </c>
      <c r="R97" s="9">
        <v>209283</v>
      </c>
      <c r="S97" s="9">
        <v>202903</v>
      </c>
      <c r="T97" s="9">
        <v>201200</v>
      </c>
      <c r="U97" s="9">
        <v>198600</v>
      </c>
      <c r="V97" s="9">
        <v>218000</v>
      </c>
      <c r="W97" s="9">
        <v>217000</v>
      </c>
      <c r="X97" s="9">
        <v>245000</v>
      </c>
      <c r="AD97" s="9"/>
      <c r="AE97" s="9"/>
      <c r="AF97" s="9"/>
      <c r="AG97" s="9"/>
      <c r="AH97" s="9"/>
      <c r="AI97" s="9"/>
      <c r="AJ97" s="9"/>
      <c r="AK97" s="9"/>
      <c r="AL97" s="9"/>
      <c r="AM97" s="9"/>
      <c r="AN97" s="9"/>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7"/>
      <c r="BW97" s="547"/>
      <c r="BX97" s="547"/>
      <c r="BY97" s="547"/>
      <c r="BZ97" s="547"/>
      <c r="CA97" s="547"/>
      <c r="CB97" s="547"/>
      <c r="CC97" s="547"/>
    </row>
    <row r="98" spans="1:81">
      <c r="A98" s="34"/>
      <c r="C98" t="s">
        <v>963</v>
      </c>
      <c r="G98" s="588" t="e">
        <f>#REF!</f>
        <v>#REF!</v>
      </c>
      <c r="H98" s="588">
        <f>H143</f>
        <v>0</v>
      </c>
      <c r="I98" s="588">
        <f>I148</f>
        <v>0</v>
      </c>
      <c r="J98" s="588">
        <f>J154</f>
        <v>0</v>
      </c>
      <c r="K98" s="595">
        <f>K161</f>
        <v>0</v>
      </c>
      <c r="L98" s="595">
        <f>L166</f>
        <v>0</v>
      </c>
      <c r="M98" s="595">
        <f>M172</f>
        <v>0</v>
      </c>
      <c r="N98" s="595"/>
      <c r="AD98" s="9"/>
      <c r="AE98" s="9"/>
      <c r="AF98" s="9"/>
      <c r="AG98" s="9"/>
      <c r="AH98" s="9"/>
      <c r="AI98" s="9"/>
      <c r="AJ98" s="9"/>
      <c r="AK98" s="9"/>
      <c r="AL98" s="9"/>
      <c r="AM98" s="9"/>
      <c r="AN98" s="9"/>
      <c r="AO98" s="547"/>
      <c r="AP98" s="547"/>
      <c r="AQ98" s="547"/>
      <c r="AR98" s="547"/>
      <c r="AS98" s="547"/>
      <c r="AT98" s="547"/>
      <c r="AU98" s="547"/>
      <c r="AV98" s="547"/>
      <c r="AW98" s="547"/>
      <c r="AX98" s="547"/>
      <c r="AY98" s="547"/>
      <c r="AZ98" s="547"/>
      <c r="BA98" s="547"/>
      <c r="BB98" s="547"/>
      <c r="BC98" s="547"/>
      <c r="BD98" s="547"/>
      <c r="BE98" s="547"/>
      <c r="BF98" s="547"/>
      <c r="BG98" s="547"/>
      <c r="BH98" s="547"/>
      <c r="BI98" s="547"/>
      <c r="BJ98" s="547"/>
      <c r="BK98" s="547"/>
      <c r="BL98" s="547"/>
      <c r="BM98" s="547"/>
      <c r="BN98" s="547"/>
      <c r="BO98" s="547"/>
      <c r="BP98" s="547"/>
      <c r="BQ98" s="547"/>
      <c r="BR98" s="547"/>
      <c r="BS98" s="547"/>
      <c r="BT98" s="547"/>
      <c r="BU98" s="547"/>
      <c r="BV98" s="547"/>
      <c r="BW98" s="547"/>
      <c r="BX98" s="547"/>
      <c r="BY98" s="547"/>
      <c r="BZ98" s="547"/>
      <c r="CA98" s="547"/>
      <c r="CB98" s="547"/>
      <c r="CC98" s="547"/>
    </row>
    <row r="99" spans="1:81" ht="15">
      <c r="A99" s="34"/>
      <c r="C99" t="s">
        <v>1074</v>
      </c>
      <c r="F99" s="4"/>
      <c r="G99" s="494"/>
      <c r="H99" s="18"/>
      <c r="I99" s="18"/>
      <c r="J99" s="18"/>
      <c r="K99" s="494"/>
      <c r="L99" s="494"/>
      <c r="M99" s="494"/>
      <c r="N99" s="494"/>
      <c r="O99" s="596">
        <f t="shared" ref="O99:X99" si="101">O97-O100</f>
        <v>69156</v>
      </c>
      <c r="P99" s="597">
        <f t="shared" si="101"/>
        <v>69793</v>
      </c>
      <c r="Q99" s="597">
        <f t="shared" si="101"/>
        <v>87818</v>
      </c>
      <c r="R99" s="597">
        <f t="shared" si="101"/>
        <v>130624.02125000001</v>
      </c>
      <c r="S99" s="597">
        <f t="shared" si="101"/>
        <v>126203</v>
      </c>
      <c r="T99" s="597">
        <f t="shared" si="101"/>
        <v>130591.72875000002</v>
      </c>
      <c r="U99" s="597">
        <f t="shared" si="101"/>
        <v>127990.72874999999</v>
      </c>
      <c r="V99" s="597">
        <f t="shared" si="101"/>
        <v>147389.72875000001</v>
      </c>
      <c r="W99" s="597">
        <f t="shared" si="101"/>
        <v>146388.72875000001</v>
      </c>
      <c r="X99" s="597">
        <f t="shared" si="101"/>
        <v>174387.72875000001</v>
      </c>
      <c r="Y99" s="4"/>
      <c r="Z99" s="4"/>
      <c r="AA99" s="4"/>
      <c r="AD99" s="9"/>
      <c r="AE99" s="9"/>
      <c r="AF99" s="9"/>
      <c r="AG99" s="9"/>
      <c r="AH99" s="9"/>
      <c r="AI99" s="9"/>
      <c r="AJ99" s="9"/>
      <c r="AK99" s="9"/>
      <c r="AL99" s="9"/>
      <c r="AM99" s="9"/>
      <c r="AN99" s="9"/>
      <c r="AO99" s="547"/>
      <c r="AP99" s="547"/>
      <c r="AQ99" s="547"/>
      <c r="AR99" s="547"/>
      <c r="AS99" s="547"/>
      <c r="AT99" s="547"/>
      <c r="AU99" s="547"/>
      <c r="AV99" s="547"/>
      <c r="AW99" s="547"/>
      <c r="AX99" s="547"/>
      <c r="AY99" s="547"/>
      <c r="AZ99" s="547"/>
      <c r="BA99" s="547"/>
      <c r="BB99" s="547"/>
      <c r="BC99" s="547"/>
      <c r="BD99" s="547"/>
      <c r="BE99" s="547"/>
      <c r="BF99" s="547"/>
      <c r="BG99" s="547"/>
      <c r="BH99" s="547"/>
      <c r="BI99" s="547"/>
      <c r="BJ99" s="547"/>
      <c r="BK99" s="547"/>
      <c r="BL99" s="547"/>
      <c r="BM99" s="547"/>
      <c r="BN99" s="547"/>
      <c r="BO99" s="547"/>
      <c r="BP99" s="547"/>
      <c r="BQ99" s="547"/>
      <c r="BR99" s="547"/>
      <c r="BS99" s="547"/>
      <c r="BT99" s="547"/>
      <c r="BU99" s="547"/>
      <c r="BV99" s="547"/>
      <c r="BW99" s="547"/>
      <c r="BX99" s="547"/>
      <c r="BY99" s="547"/>
      <c r="BZ99" s="547"/>
      <c r="CA99" s="547"/>
      <c r="CB99" s="547"/>
      <c r="CC99" s="547"/>
    </row>
    <row r="100" spans="1:81" ht="15">
      <c r="A100" s="34"/>
      <c r="C100" t="s">
        <v>965</v>
      </c>
      <c r="F100" s="14">
        <f t="shared" ref="F100:M100" si="102">F97-F98</f>
        <v>14452</v>
      </c>
      <c r="G100" s="14" t="e">
        <f t="shared" si="102"/>
        <v>#REF!</v>
      </c>
      <c r="H100" s="14">
        <f t="shared" si="102"/>
        <v>52172</v>
      </c>
      <c r="I100" s="14">
        <f t="shared" si="102"/>
        <v>58584</v>
      </c>
      <c r="J100" s="14">
        <f t="shared" si="102"/>
        <v>59686</v>
      </c>
      <c r="K100" s="14">
        <f t="shared" si="102"/>
        <v>74545</v>
      </c>
      <c r="L100" s="14">
        <f t="shared" si="102"/>
        <v>81309</v>
      </c>
      <c r="M100" s="14">
        <f t="shared" si="102"/>
        <v>77436</v>
      </c>
      <c r="N100" s="14"/>
      <c r="O100" s="598">
        <v>70400</v>
      </c>
      <c r="P100" s="599">
        <v>80000</v>
      </c>
      <c r="Q100" s="599">
        <v>86500</v>
      </c>
      <c r="R100" s="599">
        <v>78658.978749999995</v>
      </c>
      <c r="S100" s="599">
        <v>76700</v>
      </c>
      <c r="T100" s="599">
        <v>70608.271249999976</v>
      </c>
      <c r="U100" s="599">
        <v>70609.271250000005</v>
      </c>
      <c r="V100" s="599">
        <v>70610.271250000005</v>
      </c>
      <c r="W100" s="599">
        <v>70611.271250000005</v>
      </c>
      <c r="X100" s="599">
        <v>70612.271250000005</v>
      </c>
      <c r="AD100" s="9"/>
      <c r="AE100" s="9"/>
      <c r="AF100" s="9"/>
      <c r="AG100" s="9"/>
      <c r="AH100" s="9"/>
      <c r="AI100" s="9"/>
      <c r="AJ100" s="9"/>
      <c r="AK100" s="9"/>
      <c r="AL100" s="9"/>
      <c r="AM100" s="9"/>
      <c r="AN100" s="9"/>
      <c r="AO100" s="547"/>
      <c r="AP100" s="547"/>
      <c r="AQ100" s="547"/>
      <c r="AR100" s="547"/>
      <c r="AS100" s="547"/>
      <c r="AT100" s="547"/>
      <c r="AU100" s="547"/>
      <c r="AV100" s="547"/>
      <c r="AW100" s="547"/>
      <c r="AX100" s="547"/>
      <c r="AY100" s="547"/>
      <c r="AZ100" s="547"/>
      <c r="BA100" s="547"/>
      <c r="BB100" s="547"/>
      <c r="BC100" s="547"/>
      <c r="BD100" s="547"/>
      <c r="BE100" s="547"/>
      <c r="BF100" s="547"/>
      <c r="BG100" s="547"/>
      <c r="BH100" s="547"/>
      <c r="BI100" s="547"/>
      <c r="BJ100" s="547"/>
      <c r="BK100" s="547"/>
      <c r="BL100" s="547"/>
      <c r="BM100" s="547"/>
      <c r="BN100" s="547"/>
      <c r="BO100" s="547"/>
      <c r="BP100" s="547"/>
      <c r="BQ100" s="547"/>
      <c r="BR100" s="547"/>
      <c r="BS100" s="547"/>
      <c r="BT100" s="547"/>
      <c r="BU100" s="547"/>
      <c r="BV100" s="547"/>
      <c r="BW100" s="547"/>
      <c r="BX100" s="547"/>
      <c r="BY100" s="547"/>
      <c r="BZ100" s="547"/>
      <c r="CA100" s="547"/>
      <c r="CB100" s="547"/>
      <c r="CC100" s="547"/>
    </row>
    <row r="101" spans="1:81">
      <c r="A101" s="34"/>
      <c r="C101" t="s">
        <v>967</v>
      </c>
      <c r="F101" s="14">
        <f>F98</f>
        <v>0</v>
      </c>
      <c r="G101" s="588" t="e">
        <f t="shared" ref="G101:M101" si="103">F101+G98</f>
        <v>#REF!</v>
      </c>
      <c r="H101" s="588" t="e">
        <f t="shared" si="103"/>
        <v>#REF!</v>
      </c>
      <c r="I101" s="588" t="e">
        <f t="shared" si="103"/>
        <v>#REF!</v>
      </c>
      <c r="J101" s="588" t="e">
        <f t="shared" si="103"/>
        <v>#REF!</v>
      </c>
      <c r="K101" s="588" t="e">
        <f t="shared" si="103"/>
        <v>#REF!</v>
      </c>
      <c r="L101" s="588" t="e">
        <f t="shared" si="103"/>
        <v>#REF!</v>
      </c>
      <c r="M101" s="588" t="e">
        <f t="shared" si="103"/>
        <v>#REF!</v>
      </c>
      <c r="N101" s="588"/>
      <c r="O101" s="588" t="e">
        <f>#REF!+O99</f>
        <v>#REF!</v>
      </c>
      <c r="P101" s="14" t="e">
        <f t="shared" ref="P101:X101" si="104">O101+P99</f>
        <v>#REF!</v>
      </c>
      <c r="Q101" s="14" t="e">
        <f t="shared" si="104"/>
        <v>#REF!</v>
      </c>
      <c r="R101" s="14" t="e">
        <f t="shared" si="104"/>
        <v>#REF!</v>
      </c>
      <c r="S101" s="14" t="e">
        <f t="shared" si="104"/>
        <v>#REF!</v>
      </c>
      <c r="T101" s="14" t="e">
        <f t="shared" si="104"/>
        <v>#REF!</v>
      </c>
      <c r="U101" s="14" t="e">
        <f t="shared" si="104"/>
        <v>#REF!</v>
      </c>
      <c r="V101" s="14" t="e">
        <f t="shared" si="104"/>
        <v>#REF!</v>
      </c>
      <c r="W101" s="14" t="e">
        <f t="shared" si="104"/>
        <v>#REF!</v>
      </c>
      <c r="X101" s="14" t="e">
        <f t="shared" si="104"/>
        <v>#REF!</v>
      </c>
      <c r="AD101" s="9"/>
      <c r="AE101" s="9"/>
      <c r="AF101" s="9"/>
      <c r="AG101" s="9"/>
      <c r="AH101" s="9"/>
      <c r="AI101" s="9"/>
      <c r="AJ101" s="9"/>
      <c r="AK101" s="9"/>
      <c r="AL101" s="9"/>
      <c r="AM101" s="9"/>
      <c r="AN101" s="9"/>
      <c r="AO101" s="547"/>
      <c r="AP101" s="547"/>
      <c r="AQ101" s="547"/>
      <c r="AR101" s="547"/>
      <c r="AS101" s="547"/>
      <c r="AT101" s="547"/>
      <c r="AU101" s="547"/>
      <c r="AV101" s="547"/>
      <c r="AW101" s="547"/>
      <c r="AX101" s="547"/>
      <c r="AY101" s="547"/>
      <c r="AZ101" s="547"/>
      <c r="BA101" s="547"/>
      <c r="BB101" s="547"/>
      <c r="BC101" s="547"/>
      <c r="BD101" s="547"/>
      <c r="BE101" s="547"/>
      <c r="BF101" s="547"/>
      <c r="BG101" s="547"/>
      <c r="BH101" s="547"/>
      <c r="BI101" s="547"/>
      <c r="BJ101" s="547"/>
      <c r="BK101" s="547"/>
      <c r="BL101" s="547"/>
      <c r="BM101" s="547"/>
      <c r="BN101" s="547"/>
      <c r="BO101" s="547"/>
      <c r="BP101" s="547"/>
      <c r="BQ101" s="547"/>
      <c r="BR101" s="547"/>
      <c r="BS101" s="547"/>
      <c r="BT101" s="547"/>
      <c r="BU101" s="547"/>
      <c r="BV101" s="547"/>
      <c r="BW101" s="547"/>
      <c r="BX101" s="547"/>
      <c r="BY101" s="547"/>
      <c r="BZ101" s="547"/>
      <c r="CA101" s="547"/>
      <c r="CB101" s="547"/>
      <c r="CC101" s="547"/>
    </row>
    <row r="102" spans="1:81">
      <c r="A102" s="34"/>
      <c r="C102" t="s">
        <v>968</v>
      </c>
      <c r="F102" s="14" t="e">
        <f t="shared" ref="F102:M102" si="105">F92</f>
        <v>#REF!</v>
      </c>
      <c r="G102" s="14" t="e">
        <f t="shared" si="105"/>
        <v>#REF!</v>
      </c>
      <c r="H102" s="14" t="e">
        <f t="shared" si="105"/>
        <v>#REF!</v>
      </c>
      <c r="I102" s="14" t="e">
        <f t="shared" si="105"/>
        <v>#REF!</v>
      </c>
      <c r="J102" s="14" t="e">
        <f t="shared" si="105"/>
        <v>#REF!</v>
      </c>
      <c r="K102" s="14" t="e">
        <f t="shared" si="105"/>
        <v>#REF!</v>
      </c>
      <c r="L102" s="14" t="e">
        <f t="shared" si="105"/>
        <v>#REF!</v>
      </c>
      <c r="M102" s="14" t="e">
        <f t="shared" si="105"/>
        <v>#REF!</v>
      </c>
      <c r="N102" s="14"/>
      <c r="O102" s="14" t="e">
        <f t="shared" ref="O102:X102" si="106">O92</f>
        <v>#REF!</v>
      </c>
      <c r="P102" s="14" t="e">
        <f t="shared" si="106"/>
        <v>#REF!</v>
      </c>
      <c r="Q102" s="14" t="e">
        <f t="shared" si="106"/>
        <v>#REF!</v>
      </c>
      <c r="R102" s="14" t="e">
        <f t="shared" si="106"/>
        <v>#REF!</v>
      </c>
      <c r="S102" s="14" t="e">
        <f t="shared" si="106"/>
        <v>#REF!</v>
      </c>
      <c r="T102" s="14" t="e">
        <f t="shared" si="106"/>
        <v>#REF!</v>
      </c>
      <c r="U102" s="14" t="e">
        <f t="shared" si="106"/>
        <v>#REF!</v>
      </c>
      <c r="V102" s="14" t="e">
        <f t="shared" si="106"/>
        <v>#REF!</v>
      </c>
      <c r="W102" s="14" t="e">
        <f t="shared" si="106"/>
        <v>#REF!</v>
      </c>
      <c r="X102" s="14" t="e">
        <f t="shared" si="106"/>
        <v>#REF!</v>
      </c>
      <c r="AD102" s="9">
        <f t="shared" ref="AD102:AN102" si="107">SUM(AD98:AD100)</f>
        <v>0</v>
      </c>
      <c r="AE102" s="9">
        <f t="shared" si="107"/>
        <v>0</v>
      </c>
      <c r="AF102" s="9">
        <f t="shared" si="107"/>
        <v>0</v>
      </c>
      <c r="AG102" s="9">
        <f t="shared" si="107"/>
        <v>0</v>
      </c>
      <c r="AH102" s="9">
        <f t="shared" si="107"/>
        <v>0</v>
      </c>
      <c r="AI102" s="9">
        <f t="shared" si="107"/>
        <v>0</v>
      </c>
      <c r="AJ102" s="9">
        <f t="shared" si="107"/>
        <v>0</v>
      </c>
      <c r="AK102" s="9">
        <f t="shared" si="107"/>
        <v>0</v>
      </c>
      <c r="AL102" s="9">
        <f t="shared" si="107"/>
        <v>0</v>
      </c>
      <c r="AM102" s="9">
        <f t="shared" si="107"/>
        <v>0</v>
      </c>
      <c r="AN102" s="9">
        <f t="shared" si="107"/>
        <v>0</v>
      </c>
      <c r="AO102" s="547"/>
      <c r="AP102" s="547"/>
      <c r="AQ102" s="547"/>
      <c r="AR102" s="547"/>
      <c r="AS102" s="547"/>
      <c r="AT102" s="547"/>
      <c r="AU102" s="547"/>
      <c r="AV102" s="547"/>
      <c r="AW102" s="547"/>
      <c r="AX102" s="547"/>
      <c r="AY102" s="547"/>
      <c r="AZ102" s="547"/>
      <c r="BA102" s="547"/>
      <c r="BB102" s="547"/>
      <c r="BC102" s="547"/>
      <c r="BD102" s="547"/>
      <c r="BE102" s="547"/>
      <c r="BF102" s="547"/>
      <c r="BG102" s="547"/>
      <c r="BH102" s="547"/>
      <c r="BI102" s="547"/>
      <c r="BJ102" s="547"/>
      <c r="BK102" s="547"/>
      <c r="BL102" s="547"/>
      <c r="BM102" s="547"/>
      <c r="BN102" s="547"/>
      <c r="BO102" s="547"/>
      <c r="BP102" s="547"/>
      <c r="BQ102" s="547"/>
      <c r="BR102" s="547"/>
      <c r="BS102" s="547"/>
      <c r="BT102" s="547"/>
      <c r="BU102" s="547"/>
      <c r="BV102" s="547"/>
      <c r="BW102" s="547"/>
      <c r="BX102" s="547"/>
      <c r="BY102" s="547"/>
      <c r="BZ102" s="547"/>
      <c r="CA102" s="547"/>
      <c r="CB102" s="547"/>
      <c r="CC102" s="547"/>
    </row>
    <row r="103" spans="1:81">
      <c r="A103" s="34"/>
      <c r="C103" t="s">
        <v>969</v>
      </c>
      <c r="F103" s="14"/>
      <c r="G103" s="121" t="e">
        <f t="shared" ref="G103:M103" si="108">G100/((G102+F102)/2)</f>
        <v>#REF!</v>
      </c>
      <c r="H103" s="121" t="e">
        <f t="shared" si="108"/>
        <v>#REF!</v>
      </c>
      <c r="I103" s="121" t="e">
        <f t="shared" si="108"/>
        <v>#REF!</v>
      </c>
      <c r="J103" s="121" t="e">
        <f t="shared" si="108"/>
        <v>#REF!</v>
      </c>
      <c r="K103" s="121" t="e">
        <f t="shared" si="108"/>
        <v>#REF!</v>
      </c>
      <c r="L103" s="121" t="e">
        <f t="shared" si="108"/>
        <v>#REF!</v>
      </c>
      <c r="M103" s="121" t="e">
        <f t="shared" si="108"/>
        <v>#REF!</v>
      </c>
      <c r="N103" s="121"/>
      <c r="AD103" s="9"/>
      <c r="AE103" s="9"/>
      <c r="AF103" s="9"/>
      <c r="AG103" s="9"/>
      <c r="AH103" s="9"/>
      <c r="AI103" s="9"/>
      <c r="AJ103" s="9"/>
      <c r="AK103" s="9"/>
      <c r="AL103" s="9"/>
      <c r="AM103" s="9"/>
      <c r="AN103" s="9"/>
      <c r="AO103" s="547"/>
      <c r="AP103" s="547"/>
      <c r="AQ103" s="547"/>
      <c r="AR103" s="547"/>
      <c r="AS103" s="547"/>
      <c r="AT103" s="547"/>
      <c r="AU103" s="547"/>
      <c r="AV103" s="547"/>
      <c r="AW103" s="547"/>
      <c r="AX103" s="547"/>
      <c r="AY103" s="547"/>
      <c r="AZ103" s="547"/>
      <c r="BA103" s="547"/>
      <c r="BB103" s="547"/>
      <c r="BC103" s="547"/>
      <c r="BD103" s="547"/>
      <c r="BE103" s="547"/>
      <c r="BF103" s="547"/>
      <c r="BG103" s="547"/>
      <c r="BH103" s="547"/>
      <c r="BI103" s="547"/>
      <c r="BJ103" s="547"/>
      <c r="BK103" s="547"/>
      <c r="BL103" s="547"/>
      <c r="BM103" s="547"/>
      <c r="BN103" s="547"/>
      <c r="BO103" s="547"/>
      <c r="BP103" s="547"/>
      <c r="BQ103" s="547"/>
      <c r="BR103" s="547"/>
      <c r="BS103" s="547"/>
      <c r="BT103" s="547"/>
      <c r="BU103" s="547"/>
      <c r="BV103" s="547"/>
      <c r="BW103" s="547"/>
      <c r="BX103" s="547"/>
      <c r="BY103" s="547"/>
      <c r="BZ103" s="547"/>
      <c r="CA103" s="547"/>
      <c r="CB103" s="547"/>
      <c r="CC103" s="547"/>
    </row>
    <row r="104" spans="1:81">
      <c r="A104" s="34"/>
      <c r="C104" t="s">
        <v>969</v>
      </c>
      <c r="E104" s="14"/>
      <c r="F104" s="18"/>
      <c r="G104" s="18"/>
      <c r="H104" s="18"/>
      <c r="I104" s="18"/>
      <c r="J104" s="18"/>
      <c r="K104" s="18"/>
      <c r="L104" s="18"/>
      <c r="M104" s="18"/>
      <c r="N104" s="18"/>
      <c r="O104" s="600" t="e">
        <f>O100/((O102+#REF!)/2)</f>
        <v>#REF!</v>
      </c>
      <c r="P104" s="600" t="e">
        <f t="shared" ref="P104:X104" si="109">P100/((P102+O102)/2)</f>
        <v>#REF!</v>
      </c>
      <c r="Q104" s="601" t="e">
        <f t="shared" si="109"/>
        <v>#REF!</v>
      </c>
      <c r="R104" s="601" t="e">
        <f t="shared" si="109"/>
        <v>#REF!</v>
      </c>
      <c r="S104" s="601" t="e">
        <f t="shared" si="109"/>
        <v>#REF!</v>
      </c>
      <c r="T104" s="601" t="e">
        <f t="shared" si="109"/>
        <v>#REF!</v>
      </c>
      <c r="U104" s="601" t="e">
        <f t="shared" si="109"/>
        <v>#REF!</v>
      </c>
      <c r="V104" s="601" t="e">
        <f t="shared" si="109"/>
        <v>#REF!</v>
      </c>
      <c r="W104" s="601" t="e">
        <f t="shared" si="109"/>
        <v>#REF!</v>
      </c>
      <c r="X104" s="601" t="e">
        <f t="shared" si="109"/>
        <v>#REF!</v>
      </c>
      <c r="Y104" s="4"/>
      <c r="Z104" s="4"/>
      <c r="AA104" s="4"/>
      <c r="AD104" s="9"/>
      <c r="AE104" s="9"/>
      <c r="AF104" s="9"/>
      <c r="AG104" s="9"/>
      <c r="AH104" s="9"/>
      <c r="AI104" s="9"/>
      <c r="AJ104" s="9"/>
      <c r="AK104" s="9"/>
      <c r="AL104" s="9"/>
      <c r="AM104" s="9"/>
      <c r="AN104" s="9"/>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7"/>
      <c r="BW104" s="547"/>
      <c r="BX104" s="547"/>
      <c r="BY104" s="547"/>
      <c r="BZ104" s="547"/>
      <c r="CA104" s="547"/>
      <c r="CB104" s="547"/>
      <c r="CC104" s="547"/>
    </row>
    <row r="105" spans="1:81">
      <c r="A105" s="34">
        <v>4</v>
      </c>
      <c r="C105" s="88" t="s">
        <v>970</v>
      </c>
      <c r="D105" s="88"/>
      <c r="E105" s="88"/>
      <c r="G105" s="20"/>
      <c r="H105" s="20"/>
      <c r="I105" s="20"/>
      <c r="J105" s="20"/>
      <c r="K105" s="20"/>
      <c r="L105" s="20"/>
      <c r="M105" s="20"/>
      <c r="N105" s="20"/>
      <c r="O105" s="20"/>
      <c r="P105" s="20"/>
      <c r="Q105" s="122"/>
      <c r="R105" s="9"/>
      <c r="S105" s="9"/>
      <c r="AD105" s="9"/>
      <c r="AE105" s="9"/>
      <c r="AF105" s="9"/>
      <c r="AG105" s="9"/>
      <c r="AH105" s="9"/>
      <c r="AI105" s="9"/>
      <c r="AJ105" s="9"/>
      <c r="AK105" s="9"/>
      <c r="AL105" s="9"/>
      <c r="AM105" s="9"/>
      <c r="AN105" s="9"/>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7"/>
      <c r="BW105" s="547"/>
      <c r="BX105" s="547"/>
      <c r="BY105" s="547"/>
      <c r="BZ105" s="547"/>
      <c r="CA105" s="547"/>
      <c r="CB105" s="547"/>
      <c r="CC105" s="547"/>
    </row>
    <row r="106" spans="1:81">
      <c r="A106" s="34"/>
      <c r="Z106" s="14"/>
      <c r="AA106" s="14"/>
      <c r="AD106" s="9">
        <f t="shared" ref="AD106:AN106" si="110">AD93+AD95+AD102+AD103+AD104+AD105</f>
        <v>0</v>
      </c>
      <c r="AE106" s="9">
        <f t="shared" si="110"/>
        <v>0</v>
      </c>
      <c r="AF106" s="9">
        <f t="shared" si="110"/>
        <v>0</v>
      </c>
      <c r="AG106" s="9">
        <f t="shared" si="110"/>
        <v>0</v>
      </c>
      <c r="AH106" s="9">
        <f t="shared" si="110"/>
        <v>0</v>
      </c>
      <c r="AI106" s="9">
        <f t="shared" si="110"/>
        <v>0</v>
      </c>
      <c r="AJ106" s="9">
        <f t="shared" si="110"/>
        <v>0</v>
      </c>
      <c r="AK106" s="9">
        <f t="shared" si="110"/>
        <v>0</v>
      </c>
      <c r="AL106" s="9">
        <f t="shared" si="110"/>
        <v>0</v>
      </c>
      <c r="AM106" s="9">
        <f t="shared" si="110"/>
        <v>0</v>
      </c>
      <c r="AN106" s="9">
        <f t="shared" si="110"/>
        <v>0</v>
      </c>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7"/>
      <c r="BW106" s="547"/>
      <c r="BX106" s="547"/>
      <c r="BY106" s="547"/>
      <c r="BZ106" s="547"/>
      <c r="CA106" s="547"/>
      <c r="CB106" s="547"/>
      <c r="CC106" s="547"/>
    </row>
    <row r="107" spans="1:81">
      <c r="A107" s="34">
        <v>5</v>
      </c>
      <c r="C107" s="88" t="s">
        <v>12</v>
      </c>
      <c r="D107" s="88"/>
      <c r="E107" s="88"/>
      <c r="Z107" s="14"/>
      <c r="AA107" s="14"/>
      <c r="AD107" s="9"/>
      <c r="AE107" s="9"/>
      <c r="AF107" s="9"/>
      <c r="AG107" s="9"/>
      <c r="AH107" s="9"/>
      <c r="AI107" s="9"/>
      <c r="AJ107" s="9"/>
      <c r="AK107" s="9"/>
      <c r="AL107" s="9"/>
      <c r="AM107" s="9"/>
      <c r="AN107" s="9"/>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7"/>
      <c r="BW107" s="547"/>
      <c r="BX107" s="547"/>
      <c r="BY107" s="547"/>
      <c r="BZ107" s="547"/>
      <c r="CA107" s="547"/>
      <c r="CB107" s="547"/>
      <c r="CC107" s="547"/>
    </row>
    <row r="108" spans="1:81">
      <c r="A108" s="34"/>
      <c r="C108" s="4" t="s">
        <v>1075</v>
      </c>
      <c r="D108" s="4"/>
      <c r="E108" s="4"/>
      <c r="F108" s="14" t="e">
        <f>'4_Fin-Stat'!#REF!</f>
        <v>#REF!</v>
      </c>
      <c r="G108" s="14" t="e">
        <f>'4_Fin-Stat'!#REF!</f>
        <v>#REF!</v>
      </c>
      <c r="H108" s="14" t="e">
        <f>'4_Fin-Stat'!#REF!</f>
        <v>#REF!</v>
      </c>
      <c r="I108" s="14" t="e">
        <f>'4_Fin-Stat'!#REF!</f>
        <v>#REF!</v>
      </c>
      <c r="J108" s="14" t="e">
        <f>'4_Fin-Stat'!#REF!</f>
        <v>#REF!</v>
      </c>
      <c r="K108" s="14" t="e">
        <f>'4_Fin-Stat'!#REF!</f>
        <v>#REF!</v>
      </c>
      <c r="L108" s="14" t="e">
        <f>'4_Fin-Stat'!#REF!</f>
        <v>#REF!</v>
      </c>
      <c r="M108" s="14" t="e">
        <f>'4_Fin-Stat'!#REF!</f>
        <v>#REF!</v>
      </c>
      <c r="N108" s="14"/>
      <c r="O108" s="14" t="e">
        <f>'4_Fin-Stat'!#REF!</f>
        <v>#REF!</v>
      </c>
      <c r="P108" s="14" t="e">
        <f>'4_Fin-Stat'!#REF!</f>
        <v>#REF!</v>
      </c>
      <c r="Q108" s="14" t="e">
        <f>'4_Fin-Stat'!#REF!</f>
        <v>#REF!</v>
      </c>
      <c r="R108" s="14" t="e">
        <f>'4_Fin-Stat'!#REF!</f>
        <v>#REF!</v>
      </c>
      <c r="S108" s="14" t="e">
        <f>'4_Fin-Stat'!#REF!</f>
        <v>#REF!</v>
      </c>
      <c r="T108" s="14" t="e">
        <f>'4_Fin-Stat'!#REF!</f>
        <v>#REF!</v>
      </c>
      <c r="U108" s="14" t="e">
        <f>'4_Fin-Stat'!#REF!</f>
        <v>#REF!</v>
      </c>
      <c r="V108" s="14" t="e">
        <f>'4_Fin-Stat'!#REF!</f>
        <v>#REF!</v>
      </c>
      <c r="W108" s="14" t="e">
        <f>'4_Fin-Stat'!#REF!</f>
        <v>#REF!</v>
      </c>
      <c r="X108" s="14" t="e">
        <f>'4_Fin-Stat'!#REF!</f>
        <v>#REF!</v>
      </c>
      <c r="Y108" s="14" t="e">
        <f>'4_Fin-Stat'!#REF!</f>
        <v>#REF!</v>
      </c>
      <c r="Z108" s="14"/>
      <c r="AA108" s="14"/>
      <c r="AD108" s="9"/>
      <c r="AE108" s="9"/>
      <c r="AF108" s="9"/>
      <c r="AG108" s="9"/>
      <c r="AH108" s="9"/>
      <c r="AI108" s="9"/>
      <c r="AJ108" s="9"/>
      <c r="AK108" s="9"/>
      <c r="AL108" s="9"/>
      <c r="AM108" s="9"/>
      <c r="AN108" s="9"/>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7"/>
      <c r="BZ108" s="547"/>
      <c r="CA108" s="547"/>
      <c r="CB108" s="547"/>
      <c r="CC108" s="547"/>
    </row>
    <row r="109" spans="1:81">
      <c r="A109" s="34"/>
      <c r="F109" s="14"/>
      <c r="G109" s="14"/>
      <c r="H109" s="14"/>
      <c r="I109" s="14"/>
      <c r="J109" s="14"/>
      <c r="K109" s="14"/>
      <c r="L109" s="14"/>
      <c r="M109" s="14"/>
      <c r="N109" s="14"/>
      <c r="O109" s="14"/>
      <c r="P109" s="14"/>
      <c r="Q109" s="14"/>
      <c r="R109" s="14"/>
      <c r="S109" s="14"/>
      <c r="T109" s="14"/>
      <c r="U109" s="14"/>
      <c r="V109" s="14"/>
      <c r="W109" s="14"/>
      <c r="X109" s="14"/>
      <c r="Y109" s="14"/>
      <c r="Z109" s="14"/>
      <c r="AA109" s="14"/>
      <c r="AD109" s="9"/>
      <c r="AE109" s="9"/>
      <c r="AF109" s="9"/>
      <c r="AG109" s="9"/>
      <c r="AH109" s="9"/>
      <c r="AI109" s="9"/>
      <c r="AJ109" s="9"/>
      <c r="AK109" s="9"/>
      <c r="AL109" s="9"/>
      <c r="AM109" s="9"/>
      <c r="AN109" s="9"/>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7"/>
      <c r="BW109" s="547"/>
      <c r="BX109" s="547"/>
      <c r="BY109" s="547"/>
      <c r="BZ109" s="547"/>
      <c r="CA109" s="547"/>
      <c r="CB109" s="547"/>
      <c r="CC109" s="547"/>
    </row>
    <row r="110" spans="1:81">
      <c r="A110" s="34"/>
      <c r="C110" t="s">
        <v>1076</v>
      </c>
      <c r="F110" s="14"/>
      <c r="G110" s="14"/>
      <c r="H110" s="14"/>
      <c r="I110" s="14"/>
      <c r="J110" s="14"/>
      <c r="K110" s="14"/>
      <c r="L110" s="14"/>
      <c r="M110" s="14"/>
      <c r="N110" s="14"/>
      <c r="O110" s="14"/>
      <c r="P110" s="14"/>
      <c r="Q110" s="14"/>
      <c r="R110" s="14"/>
      <c r="S110" s="14"/>
      <c r="T110" s="14"/>
      <c r="U110" s="14"/>
      <c r="V110" s="14"/>
      <c r="W110" s="14"/>
      <c r="X110" s="14">
        <v>43000</v>
      </c>
      <c r="Y110" s="14">
        <v>46000</v>
      </c>
      <c r="Z110" s="14"/>
      <c r="AA110" s="14"/>
      <c r="AD110" s="9">
        <f t="shared" ref="AD110:AN110" si="111">SUM(AD108:AD109)</f>
        <v>0</v>
      </c>
      <c r="AE110" s="9">
        <f t="shared" si="111"/>
        <v>0</v>
      </c>
      <c r="AF110" s="9">
        <f t="shared" si="111"/>
        <v>0</v>
      </c>
      <c r="AG110" s="9">
        <f t="shared" si="111"/>
        <v>0</v>
      </c>
      <c r="AH110" s="9">
        <f t="shared" si="111"/>
        <v>0</v>
      </c>
      <c r="AI110" s="9">
        <f t="shared" si="111"/>
        <v>0</v>
      </c>
      <c r="AJ110" s="9">
        <f t="shared" si="111"/>
        <v>0</v>
      </c>
      <c r="AK110" s="9">
        <f t="shared" si="111"/>
        <v>0</v>
      </c>
      <c r="AL110" s="9">
        <f t="shared" si="111"/>
        <v>0</v>
      </c>
      <c r="AM110" s="9">
        <f t="shared" si="111"/>
        <v>0</v>
      </c>
      <c r="AN110" s="9">
        <f t="shared" si="111"/>
        <v>0</v>
      </c>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row>
    <row r="111" spans="1:81">
      <c r="A111" s="34"/>
      <c r="F111" s="14"/>
      <c r="G111" s="14"/>
      <c r="H111" s="14"/>
      <c r="I111" s="14"/>
      <c r="J111" s="14"/>
      <c r="K111" s="14"/>
      <c r="L111" s="14"/>
      <c r="M111" s="14"/>
      <c r="N111" s="14"/>
      <c r="O111" s="14"/>
      <c r="P111" s="14"/>
      <c r="Q111" s="14"/>
      <c r="R111" s="14"/>
      <c r="S111" s="14"/>
      <c r="T111" s="14"/>
      <c r="U111" s="14"/>
      <c r="V111" s="14"/>
      <c r="W111" s="14"/>
      <c r="X111" s="14"/>
      <c r="Y111" s="14"/>
      <c r="Z111" s="14"/>
      <c r="AA111" s="14"/>
      <c r="AD111" s="9"/>
      <c r="AE111" s="9"/>
      <c r="AF111" s="9"/>
      <c r="AG111" s="9"/>
      <c r="AH111" s="9"/>
      <c r="AI111" s="9"/>
      <c r="AJ111" s="9"/>
      <c r="AK111" s="9"/>
      <c r="AL111" s="9"/>
      <c r="AM111" s="9"/>
      <c r="AN111" s="9"/>
      <c r="AO111" s="547"/>
      <c r="AP111" s="547"/>
      <c r="AQ111" s="547"/>
      <c r="AR111" s="547"/>
      <c r="AS111" s="547"/>
      <c r="AT111" s="547"/>
      <c r="AU111" s="547"/>
      <c r="AV111" s="547"/>
      <c r="AW111" s="547"/>
      <c r="AX111" s="547"/>
      <c r="AY111" s="547"/>
      <c r="AZ111" s="547"/>
      <c r="BA111" s="547"/>
      <c r="BB111" s="547"/>
      <c r="BC111" s="547"/>
      <c r="BD111" s="547"/>
      <c r="BE111" s="547"/>
      <c r="BF111" s="547"/>
      <c r="BG111" s="547"/>
      <c r="BH111" s="547"/>
      <c r="BI111" s="547"/>
      <c r="BJ111" s="547"/>
      <c r="BK111" s="547"/>
      <c r="BL111" s="547"/>
      <c r="BM111" s="547"/>
      <c r="BN111" s="547"/>
      <c r="BO111" s="547"/>
      <c r="BP111" s="547"/>
      <c r="BQ111" s="547"/>
      <c r="BR111" s="547"/>
      <c r="BS111" s="547"/>
      <c r="BT111" s="547"/>
      <c r="BU111" s="547"/>
      <c r="BV111" s="547"/>
      <c r="BW111" s="547"/>
      <c r="BX111" s="547"/>
      <c r="BY111" s="547"/>
      <c r="BZ111" s="547"/>
      <c r="CA111" s="547"/>
      <c r="CB111" s="547"/>
      <c r="CC111" s="547"/>
    </row>
    <row r="112" spans="1:81">
      <c r="A112" s="34"/>
      <c r="C112" s="4" t="s">
        <v>1077</v>
      </c>
      <c r="D112" s="4"/>
      <c r="E112" s="4"/>
      <c r="F112" s="14" t="e">
        <f>'4_Fin-Stat'!#REF!</f>
        <v>#REF!</v>
      </c>
      <c r="G112" s="14" t="e">
        <f>'4_Fin-Stat'!#REF!</f>
        <v>#REF!</v>
      </c>
      <c r="H112" s="14" t="e">
        <f>'4_Fin-Stat'!#REF!</f>
        <v>#REF!</v>
      </c>
      <c r="I112" s="14" t="e">
        <f>'4_Fin-Stat'!#REF!</f>
        <v>#REF!</v>
      </c>
      <c r="J112" s="14" t="e">
        <f>'4_Fin-Stat'!#REF!</f>
        <v>#REF!</v>
      </c>
      <c r="K112" s="14" t="e">
        <f>'4_Fin-Stat'!#REF!</f>
        <v>#REF!</v>
      </c>
      <c r="L112" s="14" t="e">
        <f>'4_Fin-Stat'!#REF!</f>
        <v>#REF!</v>
      </c>
      <c r="M112" s="14" t="e">
        <f>'4_Fin-Stat'!#REF!</f>
        <v>#REF!</v>
      </c>
      <c r="N112" s="14"/>
      <c r="O112" s="14" t="e">
        <f>'4_Fin-Stat'!#REF!</f>
        <v>#REF!</v>
      </c>
      <c r="P112" s="14" t="e">
        <f>'4_Fin-Stat'!#REF!</f>
        <v>#REF!</v>
      </c>
      <c r="Q112" s="14" t="e">
        <f>'4_Fin-Stat'!#REF!</f>
        <v>#REF!</v>
      </c>
      <c r="R112" s="14" t="e">
        <f>'4_Fin-Stat'!#REF!</f>
        <v>#REF!</v>
      </c>
      <c r="S112" s="14" t="e">
        <f>'4_Fin-Stat'!#REF!</f>
        <v>#REF!</v>
      </c>
      <c r="T112" s="14" t="e">
        <f>'4_Fin-Stat'!#REF!</f>
        <v>#REF!</v>
      </c>
      <c r="U112" s="14" t="e">
        <f>'4_Fin-Stat'!#REF!</f>
        <v>#REF!</v>
      </c>
      <c r="V112" s="14" t="e">
        <f>'4_Fin-Stat'!#REF!</f>
        <v>#REF!</v>
      </c>
      <c r="W112" s="14" t="e">
        <f>'4_Fin-Stat'!#REF!</f>
        <v>#REF!</v>
      </c>
      <c r="X112" s="14" t="e">
        <f>'4_Fin-Stat'!#REF!</f>
        <v>#REF!</v>
      </c>
      <c r="Y112" s="14" t="e">
        <f>'4_Fin-Stat'!#REF!</f>
        <v>#REF!</v>
      </c>
      <c r="Z112" s="14"/>
      <c r="AA112" s="14"/>
      <c r="AD112" s="9"/>
      <c r="AE112" s="9"/>
      <c r="AF112" s="9"/>
      <c r="AG112" s="9"/>
      <c r="AH112" s="9"/>
      <c r="AI112" s="9"/>
      <c r="AJ112" s="9"/>
      <c r="AK112" s="9"/>
      <c r="AL112" s="9"/>
      <c r="AM112" s="9"/>
      <c r="AN112" s="9"/>
      <c r="AO112" s="547"/>
      <c r="AP112" s="547"/>
      <c r="AQ112" s="547"/>
      <c r="AR112" s="547"/>
      <c r="AS112" s="547"/>
      <c r="AT112" s="547"/>
      <c r="AU112" s="547"/>
      <c r="AV112" s="547"/>
      <c r="AW112" s="547"/>
      <c r="AX112" s="547"/>
      <c r="AY112" s="547"/>
      <c r="AZ112" s="547"/>
      <c r="BA112" s="547"/>
      <c r="BB112" s="547"/>
      <c r="BC112" s="547"/>
      <c r="BD112" s="547"/>
      <c r="BE112" s="547"/>
      <c r="BF112" s="547"/>
      <c r="BG112" s="547"/>
      <c r="BH112" s="547"/>
      <c r="BI112" s="547"/>
      <c r="BJ112" s="547"/>
      <c r="BK112" s="547"/>
      <c r="BL112" s="547"/>
      <c r="BM112" s="547"/>
      <c r="BN112" s="547"/>
      <c r="BO112" s="547"/>
      <c r="BP112" s="547"/>
      <c r="BQ112" s="547"/>
      <c r="BR112" s="547"/>
      <c r="BS112" s="547"/>
      <c r="BT112" s="547"/>
      <c r="BU112" s="547"/>
      <c r="BV112" s="547"/>
      <c r="BW112" s="547"/>
      <c r="BX112" s="547"/>
      <c r="BY112" s="547"/>
      <c r="BZ112" s="547"/>
      <c r="CA112" s="547"/>
      <c r="CB112" s="547"/>
      <c r="CC112" s="547"/>
    </row>
    <row r="113" spans="1:81">
      <c r="A113" s="34"/>
      <c r="F113" s="14"/>
      <c r="G113" s="14"/>
      <c r="H113" s="14"/>
      <c r="I113" s="14"/>
      <c r="J113" s="14"/>
      <c r="K113" s="14"/>
      <c r="L113" s="14"/>
      <c r="M113" s="14"/>
      <c r="N113" s="14"/>
      <c r="O113" s="14"/>
      <c r="P113" s="14"/>
      <c r="Q113" s="14"/>
      <c r="R113" s="14"/>
      <c r="S113" s="14"/>
      <c r="T113" s="14"/>
      <c r="U113" s="14"/>
      <c r="V113" s="14"/>
      <c r="W113" s="14"/>
      <c r="X113" s="14"/>
      <c r="Y113" s="14"/>
      <c r="Z113" s="14"/>
      <c r="AA113" s="14"/>
      <c r="AD113" s="9"/>
      <c r="AE113" s="9"/>
      <c r="AF113" s="9"/>
      <c r="AG113" s="9"/>
      <c r="AH113" s="9"/>
      <c r="AI113" s="9"/>
      <c r="AJ113" s="9"/>
      <c r="AK113" s="9"/>
      <c r="AL113" s="9"/>
      <c r="AM113" s="9"/>
      <c r="AN113" s="9"/>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7"/>
      <c r="BW113" s="547"/>
      <c r="BX113" s="547"/>
      <c r="BY113" s="547"/>
      <c r="BZ113" s="547"/>
      <c r="CA113" s="547"/>
      <c r="CB113" s="547"/>
      <c r="CC113" s="547"/>
    </row>
    <row r="114" spans="1:81">
      <c r="A114" s="34"/>
      <c r="C114" t="s">
        <v>1078</v>
      </c>
      <c r="F114" s="14"/>
      <c r="G114" s="14"/>
      <c r="H114" s="14"/>
      <c r="I114" s="14"/>
      <c r="J114" s="14"/>
      <c r="K114" s="14"/>
      <c r="L114" s="14"/>
      <c r="M114" s="14"/>
      <c r="N114" s="14"/>
      <c r="O114" s="14"/>
      <c r="P114" s="14"/>
      <c r="Q114" s="14"/>
      <c r="R114" s="14"/>
      <c r="S114" s="14"/>
      <c r="T114" s="14"/>
      <c r="U114" s="14"/>
      <c r="V114" s="14"/>
      <c r="W114" s="14"/>
      <c r="X114" s="14"/>
      <c r="Y114" s="14"/>
      <c r="Z114" s="14"/>
      <c r="AA114" s="14"/>
      <c r="AD114" s="9">
        <f>SUM(AD112:AD113)</f>
        <v>0</v>
      </c>
      <c r="AE114" s="9"/>
      <c r="AF114" s="9"/>
      <c r="AG114" s="9"/>
      <c r="AH114" s="9"/>
      <c r="AI114" s="9"/>
      <c r="AJ114" s="9"/>
      <c r="AK114" s="9"/>
      <c r="AL114" s="9"/>
      <c r="AM114" s="9"/>
      <c r="AN114" s="9"/>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7"/>
      <c r="BW114" s="547"/>
      <c r="BX114" s="547"/>
      <c r="BY114" s="547"/>
      <c r="BZ114" s="547"/>
      <c r="CA114" s="547"/>
      <c r="CB114" s="547"/>
      <c r="CC114" s="547"/>
    </row>
    <row r="115" spans="1:81">
      <c r="A115" s="34"/>
      <c r="C115" t="s">
        <v>1079</v>
      </c>
      <c r="F115" s="14"/>
      <c r="G115" s="14"/>
      <c r="H115" s="14"/>
      <c r="I115" s="14"/>
      <c r="J115" s="14"/>
      <c r="K115" s="14"/>
      <c r="L115" s="14"/>
      <c r="M115" s="14"/>
      <c r="N115" s="14"/>
      <c r="O115" s="14"/>
      <c r="P115" s="14"/>
      <c r="Q115" s="14"/>
      <c r="R115" s="14"/>
      <c r="S115" s="14"/>
      <c r="T115" s="14"/>
      <c r="U115" s="14"/>
      <c r="V115" s="14"/>
      <c r="W115" s="14"/>
      <c r="X115" s="14">
        <v>-25000</v>
      </c>
      <c r="Y115" s="14">
        <v>-31000</v>
      </c>
      <c r="Z115" s="14"/>
      <c r="AA115" s="14"/>
      <c r="AD115" s="9"/>
      <c r="AE115" s="9"/>
      <c r="AF115" s="9"/>
      <c r="AG115" s="9"/>
      <c r="AH115" s="9"/>
      <c r="AI115" s="9"/>
      <c r="AJ115" s="9"/>
      <c r="AK115" s="9"/>
      <c r="AL115" s="9"/>
      <c r="AM115" s="9"/>
      <c r="AN115" s="9"/>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7"/>
      <c r="BW115" s="547"/>
      <c r="BX115" s="547"/>
      <c r="BY115" s="547"/>
      <c r="BZ115" s="547"/>
      <c r="CA115" s="547"/>
      <c r="CB115" s="547"/>
      <c r="CC115" s="547"/>
    </row>
    <row r="116" spans="1:81">
      <c r="A116" s="34"/>
      <c r="C116" t="s">
        <v>180</v>
      </c>
      <c r="F116" s="14"/>
      <c r="G116" s="14"/>
      <c r="H116" s="14"/>
      <c r="I116" s="14"/>
      <c r="J116" s="14"/>
      <c r="K116" s="14"/>
      <c r="L116" s="14"/>
      <c r="M116" s="14"/>
      <c r="N116" s="14"/>
      <c r="O116" s="14"/>
      <c r="P116" s="14"/>
      <c r="Q116" s="14"/>
      <c r="R116" s="14"/>
      <c r="S116" s="14"/>
      <c r="T116" s="14"/>
      <c r="U116" s="14"/>
      <c r="V116" s="14"/>
      <c r="W116" s="14"/>
      <c r="X116" s="14">
        <v>4000</v>
      </c>
      <c r="Y116" s="14">
        <v>2000</v>
      </c>
      <c r="Z116" s="14"/>
      <c r="AA116" s="14"/>
      <c r="AD116" s="9"/>
      <c r="AE116" s="9"/>
      <c r="AF116" s="9"/>
      <c r="AG116" s="9"/>
      <c r="AH116" s="9"/>
      <c r="AI116" s="9"/>
      <c r="AJ116" s="9"/>
      <c r="AK116" s="9"/>
      <c r="AL116" s="9"/>
      <c r="AM116" s="9"/>
      <c r="AN116" s="9"/>
      <c r="AO116" s="547"/>
      <c r="AP116" s="547"/>
      <c r="AQ116" s="547"/>
      <c r="AR116" s="547"/>
      <c r="AS116" s="547"/>
      <c r="AT116" s="547"/>
      <c r="AU116" s="547"/>
      <c r="AV116" s="547"/>
      <c r="AW116" s="547"/>
      <c r="AX116" s="547"/>
      <c r="AY116" s="547"/>
      <c r="AZ116" s="547"/>
      <c r="BA116" s="547"/>
      <c r="BB116" s="547"/>
      <c r="BC116" s="547"/>
      <c r="BD116" s="547"/>
      <c r="BE116" s="547"/>
      <c r="BF116" s="547"/>
      <c r="BG116" s="547"/>
      <c r="BH116" s="547"/>
      <c r="BI116" s="547"/>
      <c r="BJ116" s="547"/>
      <c r="BK116" s="547"/>
      <c r="BL116" s="547"/>
      <c r="BM116" s="547"/>
      <c r="BN116" s="547"/>
      <c r="BO116" s="547"/>
      <c r="BP116" s="547"/>
      <c r="BQ116" s="547"/>
      <c r="BR116" s="547"/>
      <c r="BS116" s="547"/>
      <c r="BT116" s="547"/>
      <c r="BU116" s="547"/>
      <c r="BV116" s="547"/>
      <c r="BW116" s="547"/>
      <c r="BX116" s="547"/>
      <c r="BY116" s="547"/>
      <c r="BZ116" s="547"/>
      <c r="CA116" s="547"/>
      <c r="CB116" s="547"/>
      <c r="CC116" s="547"/>
    </row>
    <row r="117" spans="1:81">
      <c r="A117" s="34"/>
      <c r="C117" t="s">
        <v>259</v>
      </c>
      <c r="F117" s="14"/>
      <c r="G117" s="14"/>
      <c r="H117" s="14"/>
      <c r="I117" s="14"/>
      <c r="J117" s="14"/>
      <c r="K117" s="14"/>
      <c r="L117" s="14"/>
      <c r="M117" s="14"/>
      <c r="N117" s="14"/>
      <c r="O117" s="14"/>
      <c r="P117" s="14"/>
      <c r="Q117" s="14"/>
      <c r="R117" s="14"/>
      <c r="S117" s="14"/>
      <c r="T117" s="14"/>
      <c r="U117" s="14"/>
      <c r="V117" s="14"/>
      <c r="W117" s="14"/>
      <c r="X117" s="14">
        <v>-5000</v>
      </c>
      <c r="Y117" s="14">
        <v>-6000</v>
      </c>
      <c r="Z117" s="14"/>
      <c r="AA117" s="14"/>
      <c r="AD117" s="9"/>
      <c r="AE117" s="9"/>
      <c r="AF117" s="9"/>
      <c r="AG117" s="9"/>
      <c r="AH117" s="9"/>
      <c r="AI117" s="9"/>
      <c r="AJ117" s="9"/>
      <c r="AK117" s="9"/>
      <c r="AL117" s="9"/>
      <c r="AM117" s="9"/>
      <c r="AN117" s="9"/>
      <c r="AO117" s="547"/>
      <c r="AP117" s="547"/>
      <c r="AQ117" s="547"/>
      <c r="AR117" s="547"/>
      <c r="AS117" s="547"/>
      <c r="AT117" s="547"/>
      <c r="AU117" s="547"/>
      <c r="AV117" s="547"/>
      <c r="AW117" s="547"/>
      <c r="AX117" s="547"/>
      <c r="AY117" s="547"/>
      <c r="AZ117" s="547"/>
      <c r="BA117" s="547"/>
      <c r="BB117" s="547"/>
      <c r="BC117" s="547"/>
      <c r="BD117" s="547"/>
      <c r="BE117" s="547"/>
      <c r="BF117" s="547"/>
      <c r="BG117" s="547"/>
      <c r="BH117" s="547"/>
      <c r="BI117" s="547"/>
      <c r="BJ117" s="547"/>
      <c r="BK117" s="547"/>
      <c r="BL117" s="547"/>
      <c r="BM117" s="547"/>
      <c r="BN117" s="547"/>
      <c r="BO117" s="547"/>
      <c r="BP117" s="547"/>
      <c r="BQ117" s="547"/>
      <c r="BR117" s="547"/>
      <c r="BS117" s="547"/>
      <c r="BT117" s="547"/>
      <c r="BU117" s="547"/>
      <c r="BV117" s="547"/>
      <c r="BW117" s="547"/>
      <c r="BX117" s="547"/>
      <c r="BY117" s="547"/>
      <c r="BZ117" s="547"/>
      <c r="CA117" s="547"/>
      <c r="CB117" s="547"/>
      <c r="CC117" s="547"/>
    </row>
    <row r="118" spans="1:81">
      <c r="A118" s="34"/>
      <c r="C118" t="s">
        <v>1076</v>
      </c>
      <c r="F118" s="14"/>
      <c r="G118" s="14"/>
      <c r="H118" s="14"/>
      <c r="I118" s="14"/>
      <c r="J118" s="14"/>
      <c r="K118" s="14"/>
      <c r="L118" s="14"/>
      <c r="M118" s="14"/>
      <c r="N118" s="14"/>
      <c r="O118" s="14"/>
      <c r="P118" s="14"/>
      <c r="Q118" s="14"/>
      <c r="R118" s="14"/>
      <c r="S118" s="14"/>
      <c r="T118" s="14"/>
      <c r="U118" s="14"/>
      <c r="V118" s="14"/>
      <c r="W118" s="14"/>
      <c r="X118" s="14">
        <v>-3000</v>
      </c>
      <c r="Y118" s="14">
        <v>0</v>
      </c>
      <c r="Z118" s="14"/>
      <c r="AA118" s="14"/>
      <c r="AD118" s="9">
        <f>SUM(AD116:AD117)</f>
        <v>0</v>
      </c>
      <c r="AE118" s="9"/>
      <c r="AF118" s="9"/>
      <c r="AG118" s="9"/>
      <c r="AH118" s="9"/>
      <c r="AI118" s="9"/>
      <c r="AJ118" s="9"/>
      <c r="AK118" s="9"/>
      <c r="AL118" s="9"/>
      <c r="AM118" s="9"/>
      <c r="AN118" s="9"/>
      <c r="AO118" s="547"/>
      <c r="AP118" s="547"/>
      <c r="AQ118" s="547"/>
      <c r="AR118" s="547"/>
      <c r="AS118" s="547"/>
      <c r="AT118" s="547"/>
      <c r="AU118" s="547"/>
      <c r="AV118" s="547"/>
      <c r="AW118" s="547"/>
      <c r="AX118" s="547"/>
      <c r="AY118" s="547"/>
      <c r="AZ118" s="547"/>
      <c r="BA118" s="547"/>
      <c r="BB118" s="547"/>
      <c r="BC118" s="547"/>
      <c r="BD118" s="547"/>
      <c r="BE118" s="547"/>
      <c r="BF118" s="547"/>
      <c r="BG118" s="547"/>
      <c r="BH118" s="547"/>
      <c r="BI118" s="547"/>
      <c r="BJ118" s="547"/>
      <c r="BK118" s="547"/>
      <c r="BL118" s="547"/>
      <c r="BM118" s="547"/>
      <c r="BN118" s="547"/>
      <c r="BO118" s="547"/>
      <c r="BP118" s="547"/>
      <c r="BQ118" s="547"/>
      <c r="BR118" s="547"/>
      <c r="BS118" s="547"/>
      <c r="BT118" s="547"/>
      <c r="BU118" s="547"/>
      <c r="BV118" s="547"/>
      <c r="BW118" s="547"/>
      <c r="BX118" s="547"/>
      <c r="BY118" s="547"/>
      <c r="BZ118" s="547"/>
      <c r="CA118" s="547"/>
      <c r="CB118" s="547"/>
      <c r="CC118" s="547"/>
    </row>
    <row r="119" spans="1:81">
      <c r="A119" s="34"/>
      <c r="C119" t="s">
        <v>140</v>
      </c>
      <c r="F119" s="14"/>
      <c r="G119" s="14"/>
      <c r="H119" s="14"/>
      <c r="I119" s="14"/>
      <c r="J119" s="14"/>
      <c r="K119" s="14"/>
      <c r="L119" s="14"/>
      <c r="M119" s="14"/>
      <c r="N119" s="14"/>
      <c r="O119" s="14"/>
      <c r="P119" s="14"/>
      <c r="Q119" s="14"/>
      <c r="R119" s="14"/>
      <c r="S119" s="14"/>
      <c r="T119" s="14"/>
      <c r="U119" s="14"/>
      <c r="V119" s="14"/>
      <c r="W119" s="14"/>
      <c r="X119" s="14">
        <v>1000</v>
      </c>
      <c r="Y119" s="14">
        <v>1000</v>
      </c>
      <c r="Z119" s="14"/>
      <c r="AA119" s="14"/>
      <c r="AD119" s="9"/>
      <c r="AE119" s="9"/>
      <c r="AF119" s="9"/>
      <c r="AG119" s="9"/>
      <c r="AH119" s="9"/>
      <c r="AI119" s="9"/>
      <c r="AJ119" s="9"/>
      <c r="AK119" s="9"/>
      <c r="AL119" s="9"/>
      <c r="AM119" s="9"/>
      <c r="AN119" s="9"/>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7"/>
      <c r="BW119" s="547"/>
      <c r="BX119" s="547"/>
      <c r="BY119" s="547"/>
      <c r="BZ119" s="547"/>
      <c r="CA119" s="547"/>
      <c r="CB119" s="547"/>
      <c r="CC119" s="547"/>
    </row>
    <row r="120" spans="1:81">
      <c r="A120" s="34"/>
      <c r="C120" t="s">
        <v>1080</v>
      </c>
      <c r="F120" s="18"/>
      <c r="G120" s="18"/>
      <c r="H120" s="18"/>
      <c r="I120" s="18"/>
      <c r="J120" s="18"/>
      <c r="K120" s="18"/>
      <c r="L120" s="18"/>
      <c r="M120" s="18"/>
      <c r="N120" s="18"/>
      <c r="O120" s="18"/>
      <c r="P120" s="18"/>
      <c r="Q120" s="18"/>
      <c r="R120" s="18"/>
      <c r="S120" s="18"/>
      <c r="T120" s="18"/>
      <c r="U120" s="18"/>
      <c r="V120" s="18"/>
      <c r="W120" s="18"/>
      <c r="X120" s="18">
        <v>-1000</v>
      </c>
      <c r="Y120" s="18">
        <v>-1000</v>
      </c>
      <c r="Z120" s="14"/>
      <c r="AA120" s="14"/>
      <c r="AD120" s="9"/>
      <c r="AE120" s="9"/>
      <c r="AF120" s="9"/>
      <c r="AG120" s="9"/>
      <c r="AH120" s="9"/>
      <c r="AI120" s="9"/>
      <c r="AJ120" s="9"/>
      <c r="AK120" s="9"/>
      <c r="AL120" s="9"/>
      <c r="AM120" s="9"/>
      <c r="AN120" s="9"/>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7"/>
      <c r="BW120" s="547"/>
      <c r="BX120" s="547"/>
      <c r="BY120" s="547"/>
      <c r="BZ120" s="547"/>
      <c r="CA120" s="547"/>
      <c r="CB120" s="547"/>
      <c r="CC120" s="547"/>
    </row>
    <row r="121" spans="1:81">
      <c r="A121" s="34"/>
      <c r="F121" s="14"/>
      <c r="G121" s="14"/>
      <c r="H121" s="14"/>
      <c r="I121" s="14"/>
      <c r="J121" s="14"/>
      <c r="K121" s="14"/>
      <c r="L121" s="14"/>
      <c r="M121" s="14"/>
      <c r="N121" s="14"/>
      <c r="O121" s="14"/>
      <c r="P121" s="14"/>
      <c r="Q121" s="14"/>
      <c r="R121" s="14"/>
      <c r="S121" s="14"/>
      <c r="T121" s="14"/>
      <c r="U121" s="14"/>
      <c r="V121" s="14"/>
      <c r="W121" s="14"/>
      <c r="X121" s="14">
        <f>SUM(X115:X120)</f>
        <v>-29000</v>
      </c>
      <c r="Y121" s="14">
        <f>SUM(Y115:Y120)</f>
        <v>-35000</v>
      </c>
      <c r="Z121" s="14"/>
      <c r="AA121" s="14"/>
      <c r="AD121" s="9"/>
      <c r="AE121" s="9"/>
      <c r="AF121" s="9"/>
      <c r="AG121" s="9"/>
      <c r="AH121" s="9"/>
      <c r="AI121" s="9"/>
      <c r="AJ121" s="9"/>
      <c r="AK121" s="9"/>
      <c r="AL121" s="9"/>
      <c r="AM121" s="9"/>
      <c r="AN121" s="9"/>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7"/>
      <c r="BW121" s="547"/>
      <c r="BX121" s="547"/>
      <c r="BY121" s="547"/>
      <c r="BZ121" s="547"/>
      <c r="CA121" s="547"/>
      <c r="CB121" s="547"/>
      <c r="CC121" s="547"/>
    </row>
    <row r="122" spans="1:81">
      <c r="A122" s="34"/>
      <c r="C122" t="s">
        <v>1081</v>
      </c>
      <c r="F122" s="18"/>
      <c r="G122" s="18"/>
      <c r="H122" s="18"/>
      <c r="I122" s="18"/>
      <c r="J122" s="18"/>
      <c r="K122" s="18"/>
      <c r="L122" s="18"/>
      <c r="M122" s="18"/>
      <c r="N122" s="18"/>
      <c r="O122" s="18"/>
      <c r="P122" s="18"/>
      <c r="Q122" s="18"/>
      <c r="R122" s="18"/>
      <c r="S122" s="18"/>
      <c r="T122" s="18"/>
      <c r="U122" s="18"/>
      <c r="V122" s="18"/>
      <c r="W122" s="18"/>
      <c r="X122" s="18">
        <v>120000</v>
      </c>
      <c r="Y122" s="18">
        <v>0</v>
      </c>
      <c r="Z122" s="14"/>
      <c r="AA122" s="14"/>
      <c r="AD122" s="9">
        <f t="shared" ref="AD122:AN122" si="112">SUM(AD120:AD121)</f>
        <v>0</v>
      </c>
      <c r="AE122" s="9">
        <f t="shared" si="112"/>
        <v>0</v>
      </c>
      <c r="AF122" s="9">
        <f t="shared" si="112"/>
        <v>0</v>
      </c>
      <c r="AG122" s="9">
        <f t="shared" si="112"/>
        <v>0</v>
      </c>
      <c r="AH122" s="9">
        <f t="shared" si="112"/>
        <v>0</v>
      </c>
      <c r="AI122" s="9">
        <f t="shared" si="112"/>
        <v>0</v>
      </c>
      <c r="AJ122" s="9">
        <f t="shared" si="112"/>
        <v>0</v>
      </c>
      <c r="AK122" s="9">
        <f t="shared" si="112"/>
        <v>0</v>
      </c>
      <c r="AL122" s="9">
        <f t="shared" si="112"/>
        <v>0</v>
      </c>
      <c r="AM122" s="9">
        <f t="shared" si="112"/>
        <v>0</v>
      </c>
      <c r="AN122" s="9">
        <f t="shared" si="112"/>
        <v>0</v>
      </c>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7"/>
      <c r="BW122" s="547"/>
      <c r="BX122" s="547"/>
      <c r="BY122" s="547"/>
      <c r="BZ122" s="547"/>
      <c r="CA122" s="547"/>
      <c r="CB122" s="547"/>
      <c r="CC122" s="547"/>
    </row>
    <row r="123" spans="1:81">
      <c r="A123" s="34"/>
      <c r="F123" s="14"/>
      <c r="G123" s="14"/>
      <c r="H123" s="14"/>
      <c r="I123" s="14"/>
      <c r="J123" s="14"/>
      <c r="K123" s="14"/>
      <c r="L123" s="14"/>
      <c r="M123" s="14"/>
      <c r="N123" s="14"/>
      <c r="O123" s="14"/>
      <c r="P123" s="14"/>
      <c r="Q123" s="14"/>
      <c r="R123" s="14"/>
      <c r="S123" s="14"/>
      <c r="T123" s="14"/>
      <c r="U123" s="14"/>
      <c r="V123" s="14"/>
      <c r="W123" s="14"/>
      <c r="X123" s="14">
        <v>1581000</v>
      </c>
      <c r="Y123" s="14">
        <f>X123+X121+X122</f>
        <v>1672000</v>
      </c>
      <c r="Z123" s="14"/>
      <c r="AA123" s="14"/>
      <c r="AD123" s="9"/>
      <c r="AE123" s="9"/>
      <c r="AF123" s="9"/>
      <c r="AG123" s="9"/>
      <c r="AH123" s="9"/>
      <c r="AI123" s="9"/>
      <c r="AJ123" s="9"/>
      <c r="AK123" s="9"/>
      <c r="AL123" s="9"/>
      <c r="AM123" s="9"/>
      <c r="AN123" s="9"/>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7"/>
      <c r="BW123" s="547"/>
      <c r="BX123" s="547"/>
      <c r="BY123" s="547"/>
      <c r="BZ123" s="547"/>
      <c r="CA123" s="547"/>
      <c r="CB123" s="547"/>
      <c r="CC123" s="547"/>
    </row>
    <row r="124" spans="1:81">
      <c r="A124" s="34"/>
      <c r="F124" s="14"/>
      <c r="G124" s="14"/>
      <c r="H124" s="14"/>
      <c r="I124" s="14"/>
      <c r="J124" s="14"/>
      <c r="K124" s="14"/>
      <c r="L124" s="14"/>
      <c r="M124" s="14"/>
      <c r="N124" s="14"/>
      <c r="O124" s="14"/>
      <c r="P124" s="14"/>
      <c r="Q124" s="14"/>
      <c r="R124" s="14"/>
      <c r="S124" s="14"/>
      <c r="T124" s="14"/>
      <c r="U124" s="14"/>
      <c r="V124" s="14"/>
      <c r="W124" s="14"/>
      <c r="X124" s="14"/>
      <c r="Y124" s="14"/>
      <c r="Z124" s="14"/>
      <c r="AA124" s="14"/>
      <c r="AD124" s="9"/>
      <c r="AE124" s="9"/>
      <c r="AF124" s="9"/>
      <c r="AG124" s="9"/>
      <c r="AH124" s="9"/>
      <c r="AI124" s="9"/>
      <c r="AJ124" s="9"/>
      <c r="AK124" s="9"/>
      <c r="AL124" s="9"/>
      <c r="AM124" s="9"/>
      <c r="AN124" s="9"/>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7"/>
      <c r="BW124" s="547"/>
      <c r="BX124" s="547"/>
      <c r="BY124" s="547"/>
      <c r="BZ124" s="547"/>
      <c r="CA124" s="547"/>
      <c r="CB124" s="547"/>
      <c r="CC124" s="547"/>
    </row>
    <row r="125" spans="1:81">
      <c r="A125" s="34"/>
      <c r="C125" t="s">
        <v>1076</v>
      </c>
      <c r="F125" s="14"/>
      <c r="G125" s="14"/>
      <c r="H125" s="14"/>
      <c r="I125" s="14"/>
      <c r="J125" s="14"/>
      <c r="K125" s="14"/>
      <c r="L125" s="14"/>
      <c r="M125" s="14"/>
      <c r="N125" s="14"/>
      <c r="O125" s="14"/>
      <c r="P125" s="14"/>
      <c r="Q125" s="14"/>
      <c r="R125" s="14"/>
      <c r="S125" s="14"/>
      <c r="T125" s="14"/>
      <c r="U125" s="14"/>
      <c r="V125" s="14"/>
      <c r="W125" s="14"/>
      <c r="X125" s="14">
        <v>-43000</v>
      </c>
      <c r="Y125" s="14">
        <v>-46000</v>
      </c>
      <c r="Z125" s="14"/>
      <c r="AA125" s="14"/>
      <c r="AD125" s="9"/>
      <c r="AE125" s="9"/>
      <c r="AF125" s="9"/>
      <c r="AG125" s="9"/>
      <c r="AH125" s="9"/>
      <c r="AI125" s="9"/>
      <c r="AJ125" s="9"/>
      <c r="AK125" s="9"/>
      <c r="AL125" s="9"/>
      <c r="AM125" s="9"/>
      <c r="AN125" s="9"/>
      <c r="AO125" s="547"/>
      <c r="AP125" s="547"/>
      <c r="AQ125" s="547"/>
      <c r="AR125" s="547"/>
      <c r="AS125" s="547"/>
      <c r="AT125" s="547"/>
      <c r="AU125" s="547"/>
      <c r="AV125" s="547"/>
      <c r="AW125" s="547"/>
      <c r="AX125" s="547"/>
      <c r="AY125" s="547"/>
      <c r="AZ125" s="547"/>
      <c r="BA125" s="547"/>
      <c r="BB125" s="547"/>
      <c r="BC125" s="547"/>
      <c r="BD125" s="547"/>
      <c r="BE125" s="547"/>
      <c r="BF125" s="547"/>
      <c r="BG125" s="547"/>
      <c r="BH125" s="547"/>
      <c r="BI125" s="547"/>
      <c r="BJ125" s="547"/>
      <c r="BK125" s="547"/>
      <c r="BL125" s="547"/>
      <c r="BM125" s="547"/>
      <c r="BN125" s="547"/>
      <c r="BO125" s="547"/>
      <c r="BP125" s="547"/>
      <c r="BQ125" s="547"/>
      <c r="BR125" s="547"/>
      <c r="BS125" s="547"/>
      <c r="BT125" s="547"/>
      <c r="BU125" s="547"/>
      <c r="BV125" s="547"/>
      <c r="BW125" s="547"/>
      <c r="BX125" s="547"/>
      <c r="BY125" s="547"/>
      <c r="BZ125" s="547"/>
      <c r="CA125" s="547"/>
      <c r="CB125" s="547"/>
      <c r="CC125" s="547"/>
    </row>
    <row r="126" spans="1:81">
      <c r="A126" s="34"/>
      <c r="F126" s="14"/>
      <c r="G126" s="14"/>
      <c r="H126" s="14"/>
      <c r="I126" s="14"/>
      <c r="J126" s="14"/>
      <c r="K126" s="14"/>
      <c r="L126" s="14"/>
      <c r="M126" s="14"/>
      <c r="N126" s="14"/>
      <c r="O126" s="14"/>
      <c r="P126" s="14"/>
      <c r="Q126" s="14"/>
      <c r="R126" s="14"/>
      <c r="S126" s="14"/>
      <c r="T126" s="14"/>
      <c r="U126" s="14"/>
      <c r="V126" s="14"/>
      <c r="W126" s="14"/>
      <c r="X126" s="14">
        <f>SUM(X123:X125)</f>
        <v>1538000</v>
      </c>
      <c r="Y126" s="14">
        <f>SUM(Y123:Y125)</f>
        <v>1626000</v>
      </c>
      <c r="Z126" s="14"/>
      <c r="AA126" s="14"/>
      <c r="AD126" s="9"/>
      <c r="AE126" s="9"/>
      <c r="AF126" s="9"/>
      <c r="AG126" s="9"/>
      <c r="AH126" s="9"/>
      <c r="AI126" s="9"/>
      <c r="AJ126" s="9"/>
      <c r="AK126" s="9"/>
      <c r="AL126" s="9"/>
      <c r="AM126" s="9"/>
      <c r="AN126" s="9"/>
      <c r="AO126" s="547"/>
      <c r="AP126" s="547"/>
      <c r="AQ126" s="547"/>
      <c r="AR126" s="547"/>
      <c r="AS126" s="547"/>
      <c r="AT126" s="547"/>
      <c r="AU126" s="547"/>
      <c r="AV126" s="547"/>
      <c r="AW126" s="547"/>
      <c r="AX126" s="547"/>
      <c r="AY126" s="547"/>
      <c r="AZ126" s="547"/>
      <c r="BA126" s="547"/>
      <c r="BB126" s="547"/>
      <c r="BC126" s="547"/>
      <c r="BD126" s="547"/>
      <c r="BE126" s="547"/>
      <c r="BF126" s="547"/>
      <c r="BG126" s="547"/>
      <c r="BH126" s="547"/>
      <c r="BI126" s="547"/>
      <c r="BJ126" s="547"/>
      <c r="BK126" s="547"/>
      <c r="BL126" s="547"/>
      <c r="BM126" s="547"/>
      <c r="BN126" s="547"/>
      <c r="BO126" s="547"/>
      <c r="BP126" s="547"/>
      <c r="BQ126" s="547"/>
      <c r="BR126" s="547"/>
      <c r="BS126" s="547"/>
      <c r="BT126" s="547"/>
      <c r="BU126" s="547"/>
      <c r="BV126" s="547"/>
      <c r="BW126" s="547"/>
      <c r="BX126" s="547"/>
      <c r="BY126" s="547"/>
      <c r="BZ126" s="547"/>
      <c r="CA126" s="547"/>
      <c r="CB126" s="547"/>
      <c r="CC126" s="547"/>
    </row>
    <row r="127" spans="1:81">
      <c r="A127" s="34"/>
      <c r="F127" s="14"/>
      <c r="G127" s="14"/>
      <c r="H127" s="14"/>
      <c r="I127" s="14"/>
      <c r="J127" s="14"/>
      <c r="K127" s="14"/>
      <c r="L127" s="14"/>
      <c r="M127" s="14"/>
      <c r="N127" s="14"/>
      <c r="O127" s="14"/>
      <c r="P127" s="14"/>
      <c r="Q127" s="14"/>
      <c r="R127" s="14"/>
      <c r="S127" s="14"/>
      <c r="T127" s="14"/>
      <c r="U127" s="14"/>
      <c r="V127" s="14"/>
      <c r="W127" s="14"/>
      <c r="X127" s="14"/>
      <c r="Y127" s="14"/>
      <c r="Z127" s="14"/>
      <c r="AA127" s="14"/>
      <c r="AD127" s="9"/>
      <c r="AE127" s="9"/>
      <c r="AF127" s="9"/>
      <c r="AG127" s="9"/>
      <c r="AH127" s="9"/>
      <c r="AI127" s="9"/>
      <c r="AJ127" s="9"/>
      <c r="AK127" s="9"/>
      <c r="AL127" s="9"/>
      <c r="AM127" s="9"/>
      <c r="AN127" s="9"/>
      <c r="AO127" s="547"/>
      <c r="AP127" s="547"/>
      <c r="AQ127" s="547"/>
      <c r="AR127" s="547"/>
      <c r="AS127" s="547"/>
      <c r="AT127" s="547"/>
      <c r="AU127" s="547"/>
      <c r="AV127" s="547"/>
      <c r="AW127" s="547"/>
      <c r="AX127" s="547"/>
      <c r="AY127" s="547"/>
      <c r="AZ127" s="547"/>
      <c r="BA127" s="547"/>
      <c r="BB127" s="547"/>
      <c r="BC127" s="547"/>
      <c r="BD127" s="547"/>
      <c r="BE127" s="547"/>
      <c r="BF127" s="547"/>
      <c r="BG127" s="547"/>
      <c r="BH127" s="547"/>
      <c r="BI127" s="547"/>
      <c r="BJ127" s="547"/>
      <c r="BK127" s="547"/>
      <c r="BL127" s="547"/>
      <c r="BM127" s="547"/>
      <c r="BN127" s="547"/>
      <c r="BO127" s="547"/>
      <c r="BP127" s="547"/>
      <c r="BQ127" s="547"/>
      <c r="BR127" s="547"/>
      <c r="BS127" s="547"/>
      <c r="BT127" s="547"/>
      <c r="BU127" s="547"/>
      <c r="BV127" s="547"/>
      <c r="BW127" s="547"/>
      <c r="BX127" s="547"/>
      <c r="BY127" s="547"/>
      <c r="BZ127" s="547"/>
      <c r="CA127" s="547"/>
      <c r="CB127" s="547"/>
      <c r="CC127" s="547"/>
    </row>
    <row r="128" spans="1:81">
      <c r="A128" s="34"/>
      <c r="F128" s="14"/>
      <c r="G128" s="14"/>
      <c r="H128" s="14"/>
      <c r="I128" s="14"/>
      <c r="J128" s="14"/>
      <c r="K128" s="14"/>
      <c r="L128" s="14"/>
      <c r="M128" s="14"/>
      <c r="N128" s="14"/>
      <c r="O128" s="14"/>
      <c r="P128" s="14"/>
      <c r="Q128" s="14"/>
      <c r="R128" s="14"/>
      <c r="S128" s="14"/>
      <c r="T128" s="14"/>
      <c r="U128" s="14"/>
      <c r="V128" s="14"/>
      <c r="W128" s="14"/>
      <c r="X128" s="14"/>
      <c r="Y128" s="14"/>
      <c r="Z128" s="14"/>
      <c r="AA128" s="14"/>
      <c r="AD128" s="9"/>
      <c r="AE128" s="9"/>
      <c r="AF128" s="9"/>
      <c r="AG128" s="9"/>
      <c r="AH128" s="9"/>
      <c r="AI128" s="9"/>
      <c r="AJ128" s="9"/>
      <c r="AK128" s="9"/>
      <c r="AL128" s="9"/>
      <c r="AM128" s="9"/>
      <c r="AN128" s="9"/>
      <c r="AO128" s="547"/>
      <c r="AP128" s="547"/>
      <c r="AQ128" s="547"/>
      <c r="AR128" s="547"/>
      <c r="AS128" s="547"/>
      <c r="AT128" s="547"/>
      <c r="AU128" s="547"/>
      <c r="AV128" s="547"/>
      <c r="AW128" s="547"/>
      <c r="AX128" s="547"/>
      <c r="AY128" s="547"/>
      <c r="AZ128" s="547"/>
      <c r="BA128" s="547"/>
      <c r="BB128" s="547"/>
      <c r="BC128" s="547"/>
      <c r="BD128" s="547"/>
      <c r="BE128" s="547"/>
      <c r="BF128" s="547"/>
      <c r="BG128" s="547"/>
      <c r="BH128" s="547"/>
      <c r="BI128" s="547"/>
      <c r="BJ128" s="547"/>
      <c r="BK128" s="547"/>
      <c r="BL128" s="547"/>
      <c r="BM128" s="547"/>
      <c r="BN128" s="547"/>
      <c r="BO128" s="547"/>
      <c r="BP128" s="547"/>
      <c r="BQ128" s="547"/>
      <c r="BR128" s="547"/>
      <c r="BS128" s="547"/>
      <c r="BT128" s="547"/>
      <c r="BU128" s="547"/>
      <c r="BV128" s="547"/>
      <c r="BW128" s="547"/>
      <c r="BX128" s="547"/>
      <c r="BY128" s="547"/>
      <c r="BZ128" s="547"/>
      <c r="CA128" s="547"/>
      <c r="CB128" s="547"/>
      <c r="CC128" s="547"/>
    </row>
    <row r="129" spans="1:81">
      <c r="A129" s="34"/>
      <c r="C129" t="s">
        <v>1075</v>
      </c>
      <c r="F129" s="14">
        <v>0</v>
      </c>
      <c r="G129" s="14">
        <v>0</v>
      </c>
      <c r="H129" s="14">
        <v>0</v>
      </c>
      <c r="I129" s="14">
        <v>0</v>
      </c>
      <c r="J129" s="14">
        <v>0</v>
      </c>
      <c r="K129" s="14">
        <v>0</v>
      </c>
      <c r="L129" s="14">
        <v>0</v>
      </c>
      <c r="M129" s="14">
        <v>132</v>
      </c>
      <c r="N129" s="14"/>
      <c r="O129" s="14">
        <v>1122</v>
      </c>
      <c r="P129" s="14">
        <v>449</v>
      </c>
      <c r="Q129" s="14">
        <v>3399</v>
      </c>
      <c r="R129" s="14">
        <v>7947</v>
      </c>
      <c r="S129" s="14">
        <v>8437</v>
      </c>
      <c r="T129" s="14">
        <v>12700</v>
      </c>
      <c r="U129" s="14">
        <v>20400</v>
      </c>
      <c r="V129" s="14">
        <v>36000</v>
      </c>
      <c r="W129" s="14">
        <v>40000</v>
      </c>
      <c r="X129" s="14">
        <v>43000</v>
      </c>
      <c r="Y129" s="14">
        <v>46000</v>
      </c>
      <c r="Z129" s="14"/>
      <c r="AA129" s="14"/>
      <c r="AD129" s="9"/>
      <c r="AE129" s="9"/>
      <c r="AF129" s="9"/>
      <c r="AG129" s="9"/>
      <c r="AH129" s="9"/>
      <c r="AI129" s="9"/>
      <c r="AJ129" s="9"/>
      <c r="AK129" s="9"/>
      <c r="AL129" s="9"/>
      <c r="AM129" s="9"/>
      <c r="AN129" s="9"/>
      <c r="AO129" s="547"/>
      <c r="AP129" s="547"/>
      <c r="AQ129" s="547"/>
      <c r="AR129" s="547"/>
      <c r="AS129" s="547"/>
      <c r="AT129" s="547"/>
      <c r="AU129" s="547"/>
      <c r="AV129" s="547"/>
      <c r="AW129" s="547"/>
      <c r="AX129" s="547"/>
      <c r="AY129" s="547"/>
      <c r="AZ129" s="547"/>
      <c r="BA129" s="547"/>
      <c r="BB129" s="547"/>
      <c r="BC129" s="547"/>
      <c r="BD129" s="547"/>
      <c r="BE129" s="547"/>
      <c r="BF129" s="547"/>
      <c r="BG129" s="547"/>
      <c r="BH129" s="547"/>
      <c r="BI129" s="547"/>
      <c r="BJ129" s="547"/>
      <c r="BK129" s="547"/>
      <c r="BL129" s="547"/>
      <c r="BM129" s="547"/>
      <c r="BN129" s="547"/>
      <c r="BO129" s="547"/>
      <c r="BP129" s="547"/>
      <c r="BQ129" s="547"/>
      <c r="BR129" s="547"/>
      <c r="BS129" s="547"/>
      <c r="BT129" s="547"/>
      <c r="BU129" s="547"/>
      <c r="BV129" s="547"/>
      <c r="BW129" s="547"/>
      <c r="BX129" s="547"/>
      <c r="BY129" s="547"/>
      <c r="BZ129" s="547"/>
      <c r="CA129" s="547"/>
      <c r="CB129" s="547"/>
      <c r="CC129" s="547"/>
    </row>
    <row r="130" spans="1:81">
      <c r="A130" s="34"/>
      <c r="C130" t="s">
        <v>1077</v>
      </c>
      <c r="F130" s="18">
        <v>5014</v>
      </c>
      <c r="G130" s="18">
        <v>28728</v>
      </c>
      <c r="H130" s="18">
        <v>66401</v>
      </c>
      <c r="I130" s="18">
        <v>92031</v>
      </c>
      <c r="J130" s="18">
        <v>138871</v>
      </c>
      <c r="K130" s="18">
        <v>145260</v>
      </c>
      <c r="L130" s="18">
        <v>179168</v>
      </c>
      <c r="M130" s="18">
        <v>970959</v>
      </c>
      <c r="N130" s="18"/>
      <c r="O130" s="18">
        <v>1329478</v>
      </c>
      <c r="P130" s="18">
        <v>1301231</v>
      </c>
      <c r="Q130" s="18">
        <v>1559507</v>
      </c>
      <c r="R130" s="18">
        <v>1412330</v>
      </c>
      <c r="S130" s="18">
        <v>1444221</v>
      </c>
      <c r="T130" s="18">
        <v>1364200</v>
      </c>
      <c r="U130" s="18">
        <v>1349700</v>
      </c>
      <c r="V130" s="18">
        <v>1400000</v>
      </c>
      <c r="W130" s="18">
        <v>1617000</v>
      </c>
      <c r="X130" s="18">
        <v>1715000</v>
      </c>
      <c r="Y130" s="18">
        <v>1683000</v>
      </c>
      <c r="Z130" s="14"/>
      <c r="AA130" s="14"/>
      <c r="AD130" s="9"/>
      <c r="AE130" s="9"/>
      <c r="AF130" s="9"/>
      <c r="AG130" s="9"/>
      <c r="AH130" s="9"/>
      <c r="AI130" s="9"/>
      <c r="AJ130" s="9"/>
      <c r="AK130" s="9"/>
      <c r="AL130" s="9"/>
      <c r="AM130" s="9"/>
      <c r="AN130" s="9"/>
      <c r="AO130" s="547"/>
      <c r="AP130" s="547"/>
      <c r="AQ130" s="547"/>
      <c r="AR130" s="547"/>
      <c r="AS130" s="547"/>
      <c r="AT130" s="547"/>
      <c r="AU130" s="547"/>
      <c r="AV130" s="547"/>
      <c r="AW130" s="547"/>
      <c r="AX130" s="547"/>
      <c r="AY130" s="547"/>
      <c r="AZ130" s="547"/>
      <c r="BA130" s="547"/>
      <c r="BB130" s="547"/>
      <c r="BC130" s="547"/>
      <c r="BD130" s="547"/>
      <c r="BE130" s="547"/>
      <c r="BF130" s="547"/>
      <c r="BG130" s="547"/>
      <c r="BH130" s="547"/>
      <c r="BI130" s="547"/>
      <c r="BJ130" s="547"/>
      <c r="BK130" s="547"/>
      <c r="BL130" s="547"/>
      <c r="BM130" s="547"/>
      <c r="BN130" s="547"/>
      <c r="BO130" s="547"/>
      <c r="BP130" s="547"/>
      <c r="BQ130" s="547"/>
      <c r="BR130" s="547"/>
      <c r="BS130" s="547"/>
      <c r="BT130" s="547"/>
      <c r="BU130" s="547"/>
      <c r="BV130" s="547"/>
      <c r="BW130" s="547"/>
      <c r="BX130" s="547"/>
      <c r="BY130" s="547"/>
      <c r="BZ130" s="547"/>
      <c r="CA130" s="547"/>
      <c r="CB130" s="547"/>
      <c r="CC130" s="547"/>
    </row>
    <row r="131" spans="1:81">
      <c r="A131" s="34"/>
      <c r="C131" t="s">
        <v>262</v>
      </c>
      <c r="F131" s="14">
        <f t="shared" ref="F131:M131" si="113">F130-F129</f>
        <v>5014</v>
      </c>
      <c r="G131" s="14">
        <f t="shared" si="113"/>
        <v>28728</v>
      </c>
      <c r="H131" s="14">
        <f t="shared" si="113"/>
        <v>66401</v>
      </c>
      <c r="I131" s="14">
        <f t="shared" si="113"/>
        <v>92031</v>
      </c>
      <c r="J131" s="14">
        <f t="shared" si="113"/>
        <v>138871</v>
      </c>
      <c r="K131" s="14">
        <f t="shared" si="113"/>
        <v>145260</v>
      </c>
      <c r="L131" s="14">
        <f t="shared" si="113"/>
        <v>179168</v>
      </c>
      <c r="M131" s="14">
        <f t="shared" si="113"/>
        <v>970827</v>
      </c>
      <c r="N131" s="14"/>
      <c r="O131" s="14">
        <f t="shared" ref="O131:Y131" si="114">O130-O129</f>
        <v>1328356</v>
      </c>
      <c r="P131" s="14">
        <f t="shared" si="114"/>
        <v>1300782</v>
      </c>
      <c r="Q131" s="14">
        <f t="shared" si="114"/>
        <v>1556108</v>
      </c>
      <c r="R131" s="14">
        <f t="shared" si="114"/>
        <v>1404383</v>
      </c>
      <c r="S131" s="14">
        <f t="shared" si="114"/>
        <v>1435784</v>
      </c>
      <c r="T131" s="14">
        <f t="shared" si="114"/>
        <v>1351500</v>
      </c>
      <c r="U131" s="14">
        <f t="shared" si="114"/>
        <v>1329300</v>
      </c>
      <c r="V131" s="14">
        <f t="shared" si="114"/>
        <v>1364000</v>
      </c>
      <c r="W131" s="14">
        <f t="shared" si="114"/>
        <v>1577000</v>
      </c>
      <c r="X131" s="14">
        <f t="shared" si="114"/>
        <v>1672000</v>
      </c>
      <c r="Y131" s="14">
        <f t="shared" si="114"/>
        <v>1637000</v>
      </c>
      <c r="Z131" s="14"/>
      <c r="AA131" s="14"/>
      <c r="AD131" s="2"/>
      <c r="AE131" s="2"/>
      <c r="AF131" s="2"/>
      <c r="AG131" s="2"/>
      <c r="AH131" s="2"/>
      <c r="AI131" s="2"/>
      <c r="AJ131" s="2"/>
      <c r="AK131" s="2"/>
      <c r="AL131" s="2"/>
      <c r="AM131" s="2"/>
      <c r="AN131" s="2"/>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7"/>
      <c r="BW131" s="547"/>
      <c r="BX131" s="547"/>
      <c r="BY131" s="547"/>
      <c r="BZ131" s="547"/>
      <c r="CA131" s="547"/>
      <c r="CB131" s="547"/>
      <c r="CC131" s="547"/>
    </row>
    <row r="132" spans="1:81">
      <c r="A132" s="34"/>
      <c r="F132" s="14"/>
      <c r="G132" s="14"/>
      <c r="H132" s="14"/>
      <c r="I132" s="14"/>
      <c r="J132" s="14"/>
      <c r="K132" s="14"/>
      <c r="L132" s="14"/>
      <c r="M132" s="14"/>
      <c r="N132" s="14"/>
      <c r="O132" s="14"/>
      <c r="P132" s="14"/>
      <c r="Q132" s="14"/>
      <c r="R132" s="14"/>
      <c r="S132" s="14"/>
      <c r="T132" s="14"/>
      <c r="U132" s="14"/>
      <c r="V132" s="14"/>
      <c r="W132" s="14"/>
      <c r="X132" s="14"/>
      <c r="Y132" s="14"/>
      <c r="Z132" s="14"/>
      <c r="AA132" s="14"/>
      <c r="AD132" s="2"/>
      <c r="AE132" s="2"/>
      <c r="AF132" s="2"/>
      <c r="AG132" s="2"/>
      <c r="AH132" s="2"/>
      <c r="AI132" s="2"/>
      <c r="AJ132" s="2"/>
      <c r="AK132" s="2"/>
      <c r="AL132" s="2"/>
      <c r="AM132" s="2"/>
      <c r="AN132" s="2"/>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7"/>
      <c r="BW132" s="547"/>
      <c r="BX132" s="547"/>
      <c r="BY132" s="547"/>
      <c r="BZ132" s="547"/>
      <c r="CA132" s="547"/>
      <c r="CB132" s="547"/>
      <c r="CC132" s="547"/>
    </row>
    <row r="133" spans="1:81">
      <c r="A133" s="34"/>
      <c r="C133" s="4" t="s">
        <v>1082</v>
      </c>
      <c r="D133" s="4"/>
      <c r="E133" s="4"/>
      <c r="F133" s="14"/>
      <c r="G133" s="14"/>
      <c r="H133" s="14"/>
      <c r="I133" s="14"/>
      <c r="J133" s="14"/>
      <c r="K133" s="14"/>
      <c r="L133" s="14"/>
      <c r="M133" s="14"/>
      <c r="N133" s="14"/>
      <c r="O133" s="14"/>
      <c r="P133" s="14"/>
      <c r="Q133" s="14"/>
      <c r="R133" s="14"/>
      <c r="S133" s="14"/>
      <c r="T133" s="14"/>
      <c r="U133" s="14"/>
      <c r="V133" s="14"/>
      <c r="W133" s="14"/>
      <c r="Y133" s="14"/>
      <c r="Z133" s="14"/>
      <c r="AA133" s="14"/>
      <c r="AD133" s="2"/>
      <c r="AE133" s="2"/>
      <c r="AF133" s="2"/>
      <c r="AG133" s="2"/>
      <c r="AH133" s="2"/>
      <c r="AI133" s="2"/>
      <c r="AJ133" s="2"/>
      <c r="AK133" s="2"/>
      <c r="AL133" s="2"/>
      <c r="AM133" s="2"/>
      <c r="AN133" s="2"/>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7"/>
      <c r="BW133" s="547"/>
      <c r="BX133" s="547"/>
      <c r="BY133" s="547"/>
      <c r="BZ133" s="547"/>
      <c r="CA133" s="547"/>
      <c r="CB133" s="547"/>
      <c r="CC133" s="547"/>
    </row>
    <row r="134" spans="1:81">
      <c r="A134" s="34"/>
      <c r="C134" t="s">
        <v>204</v>
      </c>
      <c r="F134" s="14"/>
      <c r="G134" s="14"/>
      <c r="H134" s="14"/>
      <c r="I134" s="14"/>
      <c r="J134" s="14"/>
      <c r="K134" s="14"/>
      <c r="L134" s="14"/>
      <c r="M134" s="14"/>
      <c r="N134" s="14"/>
      <c r="O134" s="14"/>
      <c r="P134" s="14"/>
      <c r="Q134" s="14"/>
      <c r="R134" s="14"/>
      <c r="S134" s="14"/>
      <c r="T134" s="14"/>
      <c r="U134" s="14"/>
      <c r="V134" s="14"/>
      <c r="W134" s="14"/>
      <c r="X134" s="14">
        <v>1760000</v>
      </c>
      <c r="Y134" s="14">
        <v>1731000</v>
      </c>
      <c r="Z134" s="14"/>
      <c r="AA134" s="14"/>
      <c r="AD134" s="2"/>
      <c r="AE134" s="2"/>
      <c r="AF134" s="2"/>
      <c r="AG134" s="2"/>
      <c r="AH134" s="2"/>
      <c r="AI134" s="2"/>
      <c r="AJ134" s="2"/>
      <c r="AK134" s="2"/>
      <c r="AL134" s="2"/>
      <c r="AM134" s="2"/>
      <c r="AN134" s="2"/>
      <c r="AO134" s="547"/>
      <c r="AP134" s="547"/>
      <c r="AQ134" s="547"/>
      <c r="AR134" s="547"/>
      <c r="AS134" s="547"/>
      <c r="AT134" s="547"/>
      <c r="AU134" s="547"/>
      <c r="AV134" s="547"/>
      <c r="AW134" s="547"/>
      <c r="AX134" s="547"/>
      <c r="AY134" s="547"/>
      <c r="AZ134" s="547"/>
      <c r="BA134" s="547"/>
      <c r="BB134" s="547"/>
      <c r="BC134" s="547"/>
      <c r="BD134" s="547"/>
      <c r="BE134" s="547"/>
      <c r="BF134" s="547"/>
      <c r="BG134" s="547"/>
      <c r="BH134" s="547"/>
      <c r="BI134" s="547"/>
      <c r="BJ134" s="547"/>
      <c r="BK134" s="547"/>
      <c r="BL134" s="547"/>
      <c r="BM134" s="547"/>
      <c r="BN134" s="547"/>
      <c r="BO134" s="547"/>
      <c r="BP134" s="547"/>
      <c r="BQ134" s="547"/>
      <c r="BR134" s="547"/>
      <c r="BS134" s="547"/>
      <c r="BT134" s="547"/>
      <c r="BU134" s="547"/>
      <c r="BV134" s="547"/>
      <c r="BW134" s="547"/>
      <c r="BX134" s="547"/>
      <c r="BY134" s="547"/>
      <c r="BZ134" s="547"/>
      <c r="CA134" s="547"/>
      <c r="CB134" s="547"/>
      <c r="CC134" s="547"/>
    </row>
    <row r="135" spans="1:81">
      <c r="A135" s="34"/>
      <c r="C135" t="s">
        <v>180</v>
      </c>
      <c r="F135" s="14"/>
      <c r="G135" s="14"/>
      <c r="H135" s="14"/>
      <c r="I135" s="14"/>
      <c r="J135" s="14"/>
      <c r="K135" s="14"/>
      <c r="L135" s="14"/>
      <c r="M135" s="14"/>
      <c r="N135" s="14"/>
      <c r="O135" s="14"/>
      <c r="P135" s="14"/>
      <c r="Q135" s="14"/>
      <c r="R135" s="14"/>
      <c r="S135" s="14"/>
      <c r="T135" s="14"/>
      <c r="U135" s="14"/>
      <c r="V135" s="14"/>
      <c r="W135" s="14"/>
      <c r="X135" s="14">
        <v>-39000</v>
      </c>
      <c r="Y135" s="14">
        <v>-37000</v>
      </c>
      <c r="Z135" s="14"/>
      <c r="AA135" s="14"/>
      <c r="AD135" s="2"/>
      <c r="AE135" s="2"/>
      <c r="AF135" s="2"/>
      <c r="AG135" s="2"/>
      <c r="AH135" s="2"/>
      <c r="AI135" s="2"/>
      <c r="AJ135" s="2"/>
      <c r="AK135" s="2"/>
      <c r="AL135" s="2"/>
      <c r="AM135" s="2"/>
      <c r="AN135" s="2"/>
      <c r="AO135" s="547"/>
      <c r="AP135" s="547"/>
      <c r="AQ135" s="547"/>
      <c r="AR135" s="547"/>
      <c r="AS135" s="547"/>
      <c r="AT135" s="547"/>
      <c r="AU135" s="547"/>
      <c r="AV135" s="547"/>
      <c r="AW135" s="547"/>
      <c r="AX135" s="547"/>
      <c r="AY135" s="547"/>
      <c r="AZ135" s="547"/>
      <c r="BA135" s="547"/>
      <c r="BB135" s="547"/>
      <c r="BC135" s="547"/>
      <c r="BD135" s="547"/>
      <c r="BE135" s="547"/>
      <c r="BF135" s="547"/>
      <c r="BG135" s="547"/>
      <c r="BH135" s="547"/>
      <c r="BI135" s="547"/>
      <c r="BJ135" s="547"/>
      <c r="BK135" s="547"/>
      <c r="BL135" s="547"/>
      <c r="BM135" s="547"/>
      <c r="BN135" s="547"/>
      <c r="BO135" s="547"/>
      <c r="BP135" s="547"/>
      <c r="BQ135" s="547"/>
      <c r="BR135" s="547"/>
      <c r="BS135" s="547"/>
      <c r="BT135" s="547"/>
      <c r="BU135" s="547"/>
      <c r="BV135" s="547"/>
      <c r="BW135" s="547"/>
      <c r="BX135" s="547"/>
      <c r="BY135" s="547"/>
      <c r="BZ135" s="547"/>
      <c r="CA135" s="547"/>
      <c r="CB135" s="547"/>
      <c r="CC135" s="547"/>
    </row>
    <row r="136" spans="1:81">
      <c r="A136" s="34"/>
      <c r="C136" t="s">
        <v>259</v>
      </c>
      <c r="F136" s="14"/>
      <c r="G136" s="14"/>
      <c r="H136" s="14"/>
      <c r="I136" s="14"/>
      <c r="J136" s="14"/>
      <c r="K136" s="14"/>
      <c r="L136" s="14"/>
      <c r="M136" s="14"/>
      <c r="N136" s="14"/>
      <c r="O136" s="14"/>
      <c r="P136" s="14"/>
      <c r="Q136" s="14"/>
      <c r="R136" s="14"/>
      <c r="S136" s="14"/>
      <c r="T136" s="14"/>
      <c r="U136" s="14"/>
      <c r="V136" s="14"/>
      <c r="W136" s="14"/>
      <c r="X136" s="14">
        <v>-12000</v>
      </c>
      <c r="Y136" s="14">
        <v>-18000</v>
      </c>
      <c r="Z136" s="14"/>
      <c r="AA136" s="14"/>
      <c r="AD136" s="2"/>
      <c r="AE136" s="2"/>
      <c r="AF136" s="2"/>
      <c r="AG136" s="2"/>
      <c r="AH136" s="2"/>
      <c r="AI136" s="2"/>
      <c r="AJ136" s="2"/>
      <c r="AK136" s="2"/>
      <c r="AL136" s="2"/>
      <c r="AM136" s="2"/>
      <c r="AN136" s="2"/>
      <c r="AO136" s="547"/>
      <c r="AP136" s="547"/>
      <c r="AQ136" s="547"/>
      <c r="AR136" s="547"/>
      <c r="AS136" s="547"/>
      <c r="AT136" s="547"/>
      <c r="AU136" s="547"/>
      <c r="AV136" s="547"/>
      <c r="AW136" s="547"/>
      <c r="AX136" s="547"/>
      <c r="AY136" s="547"/>
      <c r="AZ136" s="547"/>
      <c r="BA136" s="547"/>
      <c r="BB136" s="547"/>
      <c r="BC136" s="547"/>
      <c r="BD136" s="547"/>
      <c r="BE136" s="547"/>
      <c r="BF136" s="547"/>
      <c r="BG136" s="547"/>
      <c r="BH136" s="547"/>
      <c r="BI136" s="547"/>
      <c r="BJ136" s="547"/>
      <c r="BK136" s="547"/>
      <c r="BL136" s="547"/>
      <c r="BM136" s="547"/>
      <c r="BN136" s="547"/>
      <c r="BO136" s="547"/>
      <c r="BP136" s="547"/>
      <c r="BQ136" s="547"/>
      <c r="BR136" s="547"/>
      <c r="BS136" s="547"/>
      <c r="BT136" s="547"/>
      <c r="BU136" s="547"/>
      <c r="BV136" s="547"/>
      <c r="BW136" s="547"/>
      <c r="BX136" s="547"/>
      <c r="BY136" s="547"/>
      <c r="BZ136" s="547"/>
      <c r="CA136" s="547"/>
      <c r="CB136" s="547"/>
      <c r="CC136" s="547"/>
    </row>
    <row r="137" spans="1:81">
      <c r="A137" s="34"/>
      <c r="C137" t="s">
        <v>140</v>
      </c>
      <c r="F137" s="14"/>
      <c r="G137" s="14"/>
      <c r="H137" s="14"/>
      <c r="I137" s="14"/>
      <c r="J137" s="14"/>
      <c r="K137" s="14"/>
      <c r="L137" s="14"/>
      <c r="M137" s="14"/>
      <c r="N137" s="14"/>
      <c r="O137" s="14"/>
      <c r="P137" s="14"/>
      <c r="Q137" s="14"/>
      <c r="R137" s="14"/>
      <c r="S137" s="14"/>
      <c r="T137" s="14"/>
      <c r="U137" s="14"/>
      <c r="V137" s="14"/>
      <c r="W137" s="14"/>
      <c r="X137" s="14">
        <v>5000</v>
      </c>
      <c r="Y137" s="14">
        <v>6000</v>
      </c>
      <c r="Z137" s="14"/>
      <c r="AA137" s="14"/>
      <c r="AD137" s="2"/>
      <c r="AE137" s="2"/>
      <c r="AF137" s="2"/>
      <c r="AG137" s="2"/>
      <c r="AH137" s="2"/>
      <c r="AI137" s="2"/>
      <c r="AJ137" s="2"/>
      <c r="AK137" s="2"/>
      <c r="AL137" s="2"/>
      <c r="AM137" s="2"/>
      <c r="AN137" s="2"/>
      <c r="AO137" s="547"/>
      <c r="AP137" s="547"/>
      <c r="AQ137" s="547"/>
      <c r="AR137" s="547"/>
      <c r="AS137" s="547"/>
      <c r="AT137" s="547"/>
      <c r="AU137" s="547"/>
      <c r="AV137" s="547"/>
      <c r="AW137" s="547"/>
      <c r="AX137" s="547"/>
      <c r="AY137" s="547"/>
      <c r="AZ137" s="547"/>
      <c r="BA137" s="547"/>
      <c r="BB137" s="547"/>
      <c r="BC137" s="547"/>
      <c r="BD137" s="547"/>
      <c r="BE137" s="547"/>
      <c r="BF137" s="547"/>
      <c r="BG137" s="547"/>
      <c r="BH137" s="547"/>
      <c r="BI137" s="547"/>
      <c r="BJ137" s="547"/>
      <c r="BK137" s="547"/>
      <c r="BL137" s="547"/>
      <c r="BM137" s="547"/>
      <c r="BN137" s="547"/>
      <c r="BO137" s="547"/>
      <c r="BP137" s="547"/>
      <c r="BQ137" s="547"/>
      <c r="BR137" s="547"/>
      <c r="BS137" s="547"/>
      <c r="BT137" s="547"/>
      <c r="BU137" s="547"/>
      <c r="BV137" s="547"/>
      <c r="BW137" s="547"/>
      <c r="BX137" s="547"/>
      <c r="BY137" s="547"/>
      <c r="BZ137" s="547"/>
      <c r="CA137" s="547"/>
      <c r="CB137" s="547"/>
      <c r="CC137" s="547"/>
    </row>
    <row r="138" spans="1:81">
      <c r="A138" s="34"/>
      <c r="C138" t="s">
        <v>1080</v>
      </c>
      <c r="F138" s="18"/>
      <c r="G138" s="18"/>
      <c r="H138" s="18"/>
      <c r="I138" s="18"/>
      <c r="J138" s="18"/>
      <c r="K138" s="18"/>
      <c r="L138" s="18"/>
      <c r="M138" s="18"/>
      <c r="N138" s="18"/>
      <c r="O138" s="18"/>
      <c r="P138" s="18"/>
      <c r="Q138" s="18"/>
      <c r="R138" s="18"/>
      <c r="S138" s="18"/>
      <c r="T138" s="18"/>
      <c r="U138" s="18"/>
      <c r="V138" s="18"/>
      <c r="W138" s="18"/>
      <c r="X138" s="18">
        <v>1000</v>
      </c>
      <c r="Y138" s="18">
        <v>1000</v>
      </c>
      <c r="Z138" s="14"/>
      <c r="AA138" s="14"/>
      <c r="AD138" s="2"/>
      <c r="AE138" s="2"/>
      <c r="AF138" s="2"/>
      <c r="AG138" s="2"/>
      <c r="AH138" s="2"/>
      <c r="AI138" s="2"/>
      <c r="AJ138" s="2"/>
      <c r="AK138" s="2"/>
      <c r="AL138" s="2"/>
      <c r="AM138" s="2"/>
      <c r="AN138" s="2"/>
      <c r="AO138" s="547"/>
      <c r="AP138" s="547"/>
      <c r="AQ138" s="547"/>
      <c r="AR138" s="547"/>
      <c r="AS138" s="547"/>
      <c r="AT138" s="547"/>
      <c r="AU138" s="547"/>
      <c r="AV138" s="547"/>
      <c r="AW138" s="547"/>
      <c r="AX138" s="547"/>
      <c r="AY138" s="547"/>
      <c r="AZ138" s="547"/>
      <c r="BA138" s="547"/>
      <c r="BB138" s="547"/>
      <c r="BC138" s="547"/>
      <c r="BD138" s="547"/>
      <c r="BE138" s="547"/>
      <c r="BF138" s="547"/>
      <c r="BG138" s="547"/>
      <c r="BH138" s="547"/>
      <c r="BI138" s="547"/>
      <c r="BJ138" s="547"/>
      <c r="BK138" s="547"/>
      <c r="BL138" s="547"/>
      <c r="BM138" s="547"/>
      <c r="BN138" s="547"/>
      <c r="BO138" s="547"/>
      <c r="BP138" s="547"/>
      <c r="BQ138" s="547"/>
      <c r="BR138" s="547"/>
      <c r="BS138" s="547"/>
      <c r="BT138" s="547"/>
      <c r="BU138" s="547"/>
      <c r="BV138" s="547"/>
      <c r="BW138" s="547"/>
      <c r="BX138" s="547"/>
      <c r="BY138" s="547"/>
      <c r="BZ138" s="547"/>
      <c r="CA138" s="547"/>
      <c r="CB138" s="547"/>
      <c r="CC138" s="547"/>
    </row>
    <row r="139" spans="1:81">
      <c r="A139" s="34"/>
      <c r="F139" s="14">
        <f t="shared" ref="F139:M139" si="115">SUM(F134:F138)</f>
        <v>0</v>
      </c>
      <c r="G139" s="14">
        <f t="shared" si="115"/>
        <v>0</v>
      </c>
      <c r="H139" s="14">
        <f t="shared" si="115"/>
        <v>0</v>
      </c>
      <c r="I139" s="14">
        <f t="shared" si="115"/>
        <v>0</v>
      </c>
      <c r="J139" s="14">
        <f t="shared" si="115"/>
        <v>0</v>
      </c>
      <c r="K139" s="14">
        <f t="shared" si="115"/>
        <v>0</v>
      </c>
      <c r="L139" s="14">
        <f t="shared" si="115"/>
        <v>0</v>
      </c>
      <c r="M139" s="14">
        <f t="shared" si="115"/>
        <v>0</v>
      </c>
      <c r="N139" s="14"/>
      <c r="O139" s="14">
        <f t="shared" ref="O139:Y139" si="116">SUM(O134:O138)</f>
        <v>0</v>
      </c>
      <c r="P139" s="14">
        <f t="shared" si="116"/>
        <v>0</v>
      </c>
      <c r="Q139" s="14">
        <f t="shared" si="116"/>
        <v>0</v>
      </c>
      <c r="R139" s="14">
        <f t="shared" si="116"/>
        <v>0</v>
      </c>
      <c r="S139" s="14">
        <f t="shared" si="116"/>
        <v>0</v>
      </c>
      <c r="T139" s="14">
        <f t="shared" si="116"/>
        <v>0</v>
      </c>
      <c r="U139" s="14">
        <f t="shared" si="116"/>
        <v>0</v>
      </c>
      <c r="V139" s="14">
        <f t="shared" si="116"/>
        <v>0</v>
      </c>
      <c r="W139" s="14">
        <f t="shared" si="116"/>
        <v>0</v>
      </c>
      <c r="X139" s="14">
        <f t="shared" si="116"/>
        <v>1715000</v>
      </c>
      <c r="Y139" s="14">
        <f t="shared" si="116"/>
        <v>1683000</v>
      </c>
      <c r="Z139" s="14"/>
      <c r="AA139" s="14"/>
      <c r="AD139" s="2"/>
      <c r="AE139" s="2"/>
      <c r="AF139" s="2"/>
      <c r="AG139" s="2"/>
      <c r="AH139" s="2"/>
      <c r="AI139" s="2"/>
      <c r="AJ139" s="2"/>
      <c r="AK139" s="2"/>
      <c r="AL139" s="2"/>
      <c r="AM139" s="2"/>
      <c r="AN139" s="2"/>
      <c r="AO139" s="547"/>
      <c r="AP139" s="547"/>
      <c r="AQ139" s="547"/>
      <c r="AR139" s="547"/>
      <c r="AS139" s="547"/>
      <c r="AT139" s="547"/>
      <c r="AU139" s="547"/>
      <c r="AV139" s="547"/>
      <c r="AW139" s="547"/>
      <c r="AX139" s="547"/>
      <c r="AY139" s="547"/>
      <c r="AZ139" s="547"/>
      <c r="BA139" s="547"/>
      <c r="BB139" s="547"/>
      <c r="BC139" s="547"/>
      <c r="BD139" s="547"/>
      <c r="BE139" s="547"/>
      <c r="BF139" s="547"/>
      <c r="BG139" s="547"/>
      <c r="BH139" s="547"/>
      <c r="BI139" s="547"/>
      <c r="BJ139" s="547"/>
      <c r="BK139" s="547"/>
      <c r="BL139" s="547"/>
      <c r="BM139" s="547"/>
      <c r="BN139" s="547"/>
      <c r="BO139" s="547"/>
      <c r="BP139" s="547"/>
      <c r="BQ139" s="547"/>
      <c r="BR139" s="547"/>
      <c r="BS139" s="547"/>
      <c r="BT139" s="547"/>
      <c r="BU139" s="547"/>
      <c r="BV139" s="547"/>
      <c r="BW139" s="547"/>
      <c r="BX139" s="547"/>
      <c r="BY139" s="547"/>
      <c r="BZ139" s="547"/>
      <c r="CA139" s="547"/>
      <c r="CB139" s="547"/>
      <c r="CC139" s="547"/>
    </row>
    <row r="140" spans="1:81">
      <c r="A140" s="34"/>
      <c r="C140" t="s">
        <v>1076</v>
      </c>
      <c r="F140" s="18"/>
      <c r="G140" s="18"/>
      <c r="H140" s="18"/>
      <c r="I140" s="18"/>
      <c r="J140" s="18"/>
      <c r="K140" s="18"/>
      <c r="L140" s="18"/>
      <c r="M140" s="18"/>
      <c r="N140" s="18"/>
      <c r="O140" s="18"/>
      <c r="P140" s="18"/>
      <c r="Q140" s="18"/>
      <c r="R140" s="18"/>
      <c r="S140" s="18"/>
      <c r="T140" s="18"/>
      <c r="U140" s="18"/>
      <c r="V140" s="18"/>
      <c r="W140" s="18"/>
      <c r="X140" s="18">
        <v>-43000</v>
      </c>
      <c r="Y140" s="602">
        <v>-46000</v>
      </c>
      <c r="Z140" s="14"/>
      <c r="AA140" s="14"/>
      <c r="AD140" s="2"/>
      <c r="AE140" s="2"/>
      <c r="AF140" s="2"/>
      <c r="AG140" s="2"/>
      <c r="AH140" s="2"/>
      <c r="AI140" s="2"/>
      <c r="AJ140" s="2"/>
      <c r="AK140" s="2"/>
      <c r="AL140" s="2"/>
      <c r="AM140" s="2"/>
      <c r="AN140" s="2"/>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7"/>
      <c r="BW140" s="547"/>
      <c r="BX140" s="547"/>
      <c r="BY140" s="547"/>
      <c r="BZ140" s="547"/>
      <c r="CA140" s="547"/>
      <c r="CB140" s="547"/>
      <c r="CC140" s="547"/>
    </row>
    <row r="141" spans="1:81">
      <c r="A141" s="34"/>
      <c r="F141" s="14"/>
      <c r="G141" s="14"/>
      <c r="H141" s="14"/>
      <c r="I141" s="14"/>
      <c r="J141" s="14"/>
      <c r="K141" s="14"/>
      <c r="L141" s="14"/>
      <c r="M141" s="14"/>
      <c r="N141" s="14"/>
      <c r="O141" s="14"/>
      <c r="P141" s="14"/>
      <c r="Q141" s="14"/>
      <c r="R141" s="14"/>
      <c r="S141" s="14"/>
      <c r="T141" s="14"/>
      <c r="U141" s="14"/>
      <c r="V141" s="14"/>
      <c r="W141" s="14"/>
      <c r="X141" s="14"/>
      <c r="Y141" s="14"/>
      <c r="Z141" s="14"/>
      <c r="AA141" s="14"/>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7"/>
      <c r="BW141" s="547"/>
      <c r="BX141" s="547"/>
      <c r="BY141" s="547"/>
      <c r="BZ141" s="547"/>
      <c r="CA141" s="547"/>
      <c r="CB141" s="547"/>
      <c r="CC141" s="547"/>
    </row>
    <row r="142" spans="1:81">
      <c r="A142" s="34">
        <v>2710</v>
      </c>
      <c r="B142" s="2"/>
      <c r="C142" s="2" t="s">
        <v>326</v>
      </c>
      <c r="D142" s="2"/>
      <c r="E142" s="2"/>
      <c r="F142" s="14"/>
      <c r="G142" s="14"/>
      <c r="H142" s="14"/>
      <c r="I142" s="14"/>
      <c r="J142" s="14"/>
      <c r="K142" s="14"/>
      <c r="L142" s="14"/>
      <c r="M142" s="14"/>
      <c r="N142" s="14"/>
      <c r="O142" s="14"/>
      <c r="P142" s="14"/>
      <c r="Q142" s="14"/>
      <c r="R142" s="14"/>
      <c r="S142" s="14"/>
      <c r="T142" s="14"/>
      <c r="U142" s="14"/>
      <c r="V142" s="14"/>
      <c r="W142" s="14"/>
      <c r="X142" s="14"/>
      <c r="Y142" s="14"/>
      <c r="Z142" s="14"/>
      <c r="AA142" s="14"/>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547"/>
      <c r="CB142" s="547"/>
      <c r="CC142" s="547"/>
    </row>
    <row r="143" spans="1:81">
      <c r="A143" s="34">
        <v>2710</v>
      </c>
      <c r="B143" s="2"/>
      <c r="C143" s="2" t="s">
        <v>945</v>
      </c>
      <c r="D143" s="2"/>
      <c r="E143" s="2"/>
      <c r="F143" s="14"/>
      <c r="G143" s="14"/>
      <c r="H143" s="14"/>
      <c r="I143" s="14"/>
      <c r="J143" s="14"/>
      <c r="K143" s="14"/>
      <c r="L143" s="14"/>
      <c r="M143" s="14"/>
      <c r="N143" s="14"/>
      <c r="O143" s="14"/>
      <c r="P143" s="14"/>
      <c r="Q143" s="14"/>
      <c r="R143" s="14"/>
      <c r="S143" s="14"/>
      <c r="T143" s="14"/>
      <c r="U143" s="14"/>
      <c r="V143" s="14"/>
      <c r="W143" s="14"/>
      <c r="X143" s="14"/>
      <c r="Y143" s="14"/>
      <c r="Z143" s="14"/>
      <c r="AA143" s="14"/>
      <c r="AO143" s="547"/>
      <c r="AP143" s="547"/>
      <c r="AQ143" s="547"/>
      <c r="AR143" s="547"/>
      <c r="AS143" s="547"/>
      <c r="AT143" s="547"/>
      <c r="AU143" s="547"/>
      <c r="AV143" s="547"/>
      <c r="AW143" s="547"/>
      <c r="AX143" s="547"/>
      <c r="AY143" s="547"/>
      <c r="AZ143" s="547"/>
      <c r="BA143" s="547"/>
      <c r="BB143" s="547"/>
      <c r="BC143" s="547"/>
      <c r="BD143" s="547"/>
      <c r="BE143" s="547"/>
      <c r="BF143" s="547"/>
      <c r="BG143" s="547"/>
      <c r="BH143" s="547"/>
      <c r="BI143" s="547"/>
      <c r="BJ143" s="547"/>
      <c r="BK143" s="547"/>
      <c r="BL143" s="547"/>
      <c r="BM143" s="547"/>
      <c r="BN143" s="547"/>
      <c r="BO143" s="547"/>
      <c r="BP143" s="547"/>
      <c r="BQ143" s="547"/>
      <c r="BR143" s="547"/>
      <c r="BS143" s="547"/>
      <c r="BT143" s="547"/>
      <c r="BU143" s="547"/>
      <c r="BV143" s="547"/>
      <c r="BW143" s="547"/>
      <c r="BX143" s="547"/>
      <c r="BY143" s="547"/>
      <c r="BZ143" s="547"/>
      <c r="CA143" s="547"/>
      <c r="CB143" s="547"/>
      <c r="CC143" s="547"/>
    </row>
    <row r="144" spans="1:81">
      <c r="A144" s="34">
        <v>2710</v>
      </c>
      <c r="B144" s="2"/>
      <c r="C144" s="2" t="s">
        <v>946</v>
      </c>
      <c r="D144" s="2"/>
      <c r="E144" s="2"/>
      <c r="F144" s="14"/>
      <c r="G144" s="14"/>
      <c r="H144" s="14"/>
      <c r="I144" s="14"/>
      <c r="J144" s="14"/>
      <c r="K144" s="14"/>
      <c r="L144" s="14"/>
      <c r="M144" s="14"/>
      <c r="N144" s="14"/>
      <c r="O144" s="14"/>
      <c r="P144" s="14"/>
      <c r="Q144" s="14"/>
      <c r="R144" s="14"/>
      <c r="S144" s="14"/>
      <c r="T144" s="14"/>
      <c r="U144" s="14"/>
      <c r="V144" s="14"/>
      <c r="W144" s="14"/>
      <c r="X144" s="14"/>
      <c r="Y144" s="14"/>
      <c r="Z144" s="14"/>
      <c r="AA144" s="14"/>
      <c r="AO144" s="547"/>
      <c r="AP144" s="547"/>
      <c r="AQ144" s="547"/>
      <c r="AR144" s="547"/>
      <c r="AS144" s="547"/>
      <c r="AT144" s="547"/>
      <c r="AU144" s="547"/>
      <c r="AV144" s="547"/>
      <c r="AW144" s="547"/>
      <c r="AX144" s="547"/>
      <c r="AY144" s="547"/>
      <c r="AZ144" s="547"/>
      <c r="BA144" s="547"/>
      <c r="BB144" s="547"/>
      <c r="BC144" s="547"/>
      <c r="BD144" s="547"/>
      <c r="BE144" s="547"/>
      <c r="BF144" s="547"/>
      <c r="BG144" s="547"/>
      <c r="BH144" s="547"/>
      <c r="BI144" s="547"/>
      <c r="BJ144" s="547"/>
      <c r="BK144" s="547"/>
      <c r="BL144" s="547"/>
      <c r="BM144" s="547"/>
      <c r="BN144" s="547"/>
      <c r="BO144" s="547"/>
      <c r="BP144" s="547"/>
      <c r="BQ144" s="547"/>
      <c r="BR144" s="547"/>
      <c r="BS144" s="547"/>
      <c r="BT144" s="547"/>
      <c r="BU144" s="547"/>
      <c r="BV144" s="547"/>
      <c r="BW144" s="547"/>
      <c r="BX144" s="547"/>
      <c r="BY144" s="547"/>
      <c r="BZ144" s="547"/>
      <c r="CA144" s="547"/>
      <c r="CB144" s="547"/>
      <c r="CC144" s="547"/>
    </row>
    <row r="145" spans="1:81">
      <c r="A145" s="34">
        <v>2710</v>
      </c>
      <c r="B145" s="2"/>
      <c r="C145" s="2" t="s">
        <v>947</v>
      </c>
      <c r="D145" s="2"/>
      <c r="E145" s="2"/>
      <c r="F145" s="14"/>
      <c r="G145" s="14"/>
      <c r="H145" s="14"/>
      <c r="I145" s="14"/>
      <c r="J145" s="14"/>
      <c r="K145" s="14"/>
      <c r="L145" s="14"/>
      <c r="M145" s="14"/>
      <c r="N145" s="14"/>
      <c r="O145" s="14"/>
      <c r="P145" s="14"/>
      <c r="Q145" s="14"/>
      <c r="R145" s="14"/>
      <c r="S145" s="14"/>
      <c r="T145" s="14"/>
      <c r="U145" s="14"/>
      <c r="V145" s="14"/>
      <c r="W145" s="14"/>
      <c r="X145" s="14"/>
      <c r="Y145" s="14"/>
      <c r="Z145" s="14"/>
      <c r="AA145" s="14"/>
      <c r="AO145" s="547"/>
      <c r="AP145" s="547"/>
      <c r="AQ145" s="547"/>
      <c r="AR145" s="547"/>
      <c r="AS145" s="547"/>
      <c r="AT145" s="547"/>
      <c r="AU145" s="547"/>
      <c r="AV145" s="547"/>
      <c r="AW145" s="547"/>
      <c r="AX145" s="547"/>
      <c r="AY145" s="547"/>
      <c r="AZ145" s="547"/>
      <c r="BA145" s="547"/>
      <c r="BB145" s="547"/>
      <c r="BC145" s="547"/>
      <c r="BD145" s="547"/>
      <c r="BE145" s="547"/>
      <c r="BF145" s="547"/>
      <c r="BG145" s="547"/>
      <c r="BH145" s="547"/>
      <c r="BI145" s="547"/>
      <c r="BJ145" s="547"/>
      <c r="BK145" s="547"/>
      <c r="BL145" s="547"/>
      <c r="BM145" s="547"/>
      <c r="BN145" s="547"/>
      <c r="BO145" s="547"/>
      <c r="BP145" s="547"/>
      <c r="BQ145" s="547"/>
      <c r="BR145" s="547"/>
      <c r="BS145" s="547"/>
      <c r="BT145" s="547"/>
      <c r="BU145" s="547"/>
      <c r="BV145" s="547"/>
      <c r="BW145" s="547"/>
      <c r="BX145" s="547"/>
      <c r="BY145" s="547"/>
      <c r="BZ145" s="547"/>
      <c r="CA145" s="547"/>
      <c r="CB145" s="547"/>
      <c r="CC145" s="547"/>
    </row>
    <row r="146" spans="1:81">
      <c r="A146" s="34">
        <v>2710</v>
      </c>
      <c r="B146" s="2"/>
      <c r="C146" s="2" t="s">
        <v>948</v>
      </c>
      <c r="D146" s="2"/>
      <c r="E146" s="2"/>
      <c r="F146" s="14"/>
      <c r="G146" s="14"/>
      <c r="H146" s="14"/>
      <c r="I146" s="14"/>
      <c r="J146" s="14"/>
      <c r="K146" s="14"/>
      <c r="L146" s="14"/>
      <c r="M146" s="14"/>
      <c r="N146" s="14"/>
      <c r="O146" s="14"/>
      <c r="P146" s="14"/>
      <c r="Q146" s="14"/>
      <c r="R146" s="14"/>
      <c r="S146" s="14"/>
      <c r="T146" s="14"/>
      <c r="U146" s="14"/>
      <c r="V146" s="14"/>
      <c r="W146" s="14"/>
      <c r="X146" s="14"/>
      <c r="Y146" s="14"/>
      <c r="Z146" s="14"/>
      <c r="AA146" s="14"/>
      <c r="AO146" s="547"/>
      <c r="AP146" s="547"/>
      <c r="AQ146" s="547"/>
      <c r="AR146" s="547"/>
      <c r="AS146" s="547"/>
      <c r="AT146" s="547"/>
      <c r="AU146" s="547"/>
      <c r="AV146" s="547"/>
      <c r="AW146" s="547"/>
      <c r="AX146" s="547"/>
      <c r="AY146" s="547"/>
      <c r="AZ146" s="547"/>
      <c r="BA146" s="547"/>
      <c r="BB146" s="547"/>
      <c r="BC146" s="547"/>
      <c r="BD146" s="547"/>
      <c r="BE146" s="547"/>
      <c r="BF146" s="547"/>
      <c r="BG146" s="547"/>
      <c r="BH146" s="547"/>
      <c r="BI146" s="547"/>
      <c r="BJ146" s="547"/>
      <c r="BK146" s="547"/>
      <c r="BL146" s="547"/>
      <c r="BM146" s="547"/>
      <c r="BN146" s="547"/>
      <c r="BO146" s="547"/>
      <c r="BP146" s="547"/>
      <c r="BQ146" s="547"/>
      <c r="BR146" s="547"/>
      <c r="BS146" s="547"/>
      <c r="BT146" s="547"/>
      <c r="BU146" s="547"/>
      <c r="BV146" s="547"/>
      <c r="BW146" s="547"/>
      <c r="BX146" s="547"/>
      <c r="BY146" s="547"/>
      <c r="BZ146" s="547"/>
      <c r="CA146" s="547"/>
      <c r="CB146" s="547"/>
      <c r="CC146" s="547"/>
    </row>
    <row r="147" spans="1:81">
      <c r="A147" s="34"/>
      <c r="B147" s="2"/>
      <c r="C147" s="2" t="s">
        <v>1070</v>
      </c>
      <c r="D147" s="2"/>
      <c r="E147" s="2"/>
      <c r="F147" s="14"/>
      <c r="G147" s="14"/>
      <c r="H147" s="14"/>
      <c r="I147" s="14"/>
      <c r="J147" s="14"/>
      <c r="K147" s="14"/>
      <c r="L147" s="14"/>
      <c r="M147" s="14"/>
      <c r="N147" s="14"/>
      <c r="O147" s="14"/>
      <c r="P147" s="14"/>
      <c r="Q147" s="14"/>
      <c r="R147" s="14"/>
      <c r="S147" s="14"/>
      <c r="T147" s="14"/>
      <c r="U147" s="14"/>
      <c r="V147" s="14"/>
      <c r="W147" s="14"/>
      <c r="X147" s="14"/>
      <c r="Y147" s="14"/>
      <c r="Z147" s="14"/>
      <c r="AA147" s="14"/>
      <c r="AO147" s="547"/>
      <c r="AP147" s="547"/>
      <c r="AQ147" s="547"/>
      <c r="AR147" s="547"/>
      <c r="AS147" s="547"/>
      <c r="AT147" s="547"/>
      <c r="AU147" s="547"/>
      <c r="AV147" s="547"/>
      <c r="AW147" s="547"/>
      <c r="AX147" s="547"/>
      <c r="AY147" s="547"/>
      <c r="AZ147" s="547"/>
      <c r="BA147" s="547"/>
      <c r="BB147" s="547"/>
      <c r="BC147" s="547"/>
      <c r="BD147" s="547"/>
      <c r="BE147" s="547"/>
      <c r="BF147" s="547"/>
      <c r="BG147" s="547"/>
      <c r="BH147" s="547"/>
      <c r="BI147" s="547"/>
      <c r="BJ147" s="547"/>
      <c r="BK147" s="547"/>
      <c r="BL147" s="547"/>
      <c r="BM147" s="547"/>
      <c r="BN147" s="547"/>
      <c r="BO147" s="547"/>
      <c r="BP147" s="547"/>
      <c r="BQ147" s="547"/>
      <c r="BR147" s="547"/>
      <c r="BS147" s="547"/>
      <c r="BT147" s="547"/>
      <c r="BU147" s="547"/>
      <c r="BV147" s="547"/>
      <c r="BW147" s="547"/>
      <c r="BX147" s="547"/>
      <c r="BY147" s="547"/>
      <c r="BZ147" s="547"/>
      <c r="CA147" s="547"/>
      <c r="CB147" s="547"/>
      <c r="CC147" s="547"/>
    </row>
    <row r="148" spans="1:81">
      <c r="A148" s="34"/>
      <c r="B148" s="2"/>
      <c r="C148" s="2" t="s">
        <v>1071</v>
      </c>
      <c r="D148" s="2"/>
      <c r="E148" s="2"/>
      <c r="F148" s="14"/>
      <c r="G148" s="14"/>
      <c r="H148" s="14"/>
      <c r="I148" s="14"/>
      <c r="J148" s="14"/>
      <c r="K148" s="14"/>
      <c r="L148" s="14"/>
      <c r="M148" s="14"/>
      <c r="N148" s="14"/>
      <c r="O148" s="14"/>
      <c r="P148" s="14"/>
      <c r="Q148" s="14"/>
      <c r="R148" s="14"/>
      <c r="S148" s="14"/>
      <c r="T148" s="14"/>
      <c r="U148" s="14"/>
      <c r="V148" s="14"/>
      <c r="W148" s="14"/>
      <c r="X148" s="14"/>
      <c r="Y148" s="14"/>
      <c r="Z148" s="14"/>
      <c r="AA148" s="14"/>
      <c r="AO148" s="547"/>
      <c r="AP148" s="547"/>
      <c r="AQ148" s="547"/>
      <c r="AR148" s="547"/>
      <c r="AS148" s="547"/>
      <c r="AT148" s="547"/>
      <c r="AU148" s="547"/>
      <c r="AV148" s="547"/>
      <c r="AW148" s="547"/>
      <c r="AX148" s="547"/>
      <c r="AY148" s="547"/>
      <c r="AZ148" s="547"/>
      <c r="BA148" s="547"/>
      <c r="BB148" s="547"/>
      <c r="BC148" s="547"/>
      <c r="BD148" s="547"/>
      <c r="BE148" s="547"/>
      <c r="BF148" s="547"/>
      <c r="BG148" s="547"/>
      <c r="BH148" s="547"/>
      <c r="BI148" s="547"/>
      <c r="BJ148" s="547"/>
      <c r="BK148" s="547"/>
      <c r="BL148" s="547"/>
      <c r="BM148" s="547"/>
      <c r="BN148" s="547"/>
      <c r="BO148" s="547"/>
      <c r="BP148" s="547"/>
      <c r="BQ148" s="547"/>
      <c r="BR148" s="547"/>
      <c r="BS148" s="547"/>
      <c r="BT148" s="547"/>
      <c r="BU148" s="547"/>
      <c r="BV148" s="547"/>
      <c r="BW148" s="547"/>
      <c r="BX148" s="547"/>
      <c r="BY148" s="547"/>
      <c r="BZ148" s="547"/>
      <c r="CA148" s="547"/>
      <c r="CB148" s="547"/>
      <c r="CC148" s="547"/>
    </row>
    <row r="149" spans="1:81">
      <c r="A149" s="34"/>
      <c r="B149" s="2"/>
      <c r="C149" s="2" t="s">
        <v>949</v>
      </c>
      <c r="D149" s="2"/>
      <c r="E149" s="2"/>
      <c r="F149" s="14"/>
      <c r="G149" s="14"/>
      <c r="H149" s="14"/>
      <c r="I149" s="14"/>
      <c r="J149" s="14"/>
      <c r="K149" s="14"/>
      <c r="L149" s="14"/>
      <c r="M149" s="14"/>
      <c r="N149" s="14"/>
      <c r="O149" s="14"/>
      <c r="P149" s="14"/>
      <c r="Q149" s="14"/>
      <c r="R149" s="14"/>
      <c r="S149" s="14"/>
      <c r="T149" s="14"/>
      <c r="U149" s="14"/>
      <c r="V149" s="14"/>
      <c r="W149" s="14"/>
      <c r="X149" s="14"/>
      <c r="Y149" s="14"/>
      <c r="Z149" s="14"/>
      <c r="AA149" s="14"/>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7"/>
      <c r="BW149" s="547"/>
      <c r="BX149" s="547"/>
      <c r="BY149" s="547"/>
      <c r="BZ149" s="547"/>
      <c r="CA149" s="547"/>
      <c r="CB149" s="547"/>
      <c r="CC149" s="547"/>
    </row>
    <row r="150" spans="1:81">
      <c r="A150" s="34">
        <v>2710</v>
      </c>
      <c r="B150" s="2"/>
      <c r="C150" s="2" t="s">
        <v>327</v>
      </c>
      <c r="D150" s="2"/>
      <c r="E150" s="2"/>
      <c r="F150" s="14"/>
      <c r="G150" s="14"/>
      <c r="H150" s="14"/>
      <c r="I150" s="14"/>
      <c r="J150" s="14"/>
      <c r="K150" s="14"/>
      <c r="L150" s="14"/>
      <c r="M150" s="14"/>
      <c r="N150" s="14"/>
      <c r="O150" s="14"/>
      <c r="P150" s="14"/>
      <c r="Q150" s="14"/>
      <c r="R150" s="14"/>
      <c r="S150" s="14"/>
      <c r="T150" s="14"/>
      <c r="U150" s="14"/>
      <c r="V150" s="14"/>
      <c r="W150" s="14"/>
      <c r="X150" s="14"/>
      <c r="Y150" s="14"/>
      <c r="Z150" s="14"/>
      <c r="AA150" s="14"/>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7"/>
      <c r="BW150" s="547"/>
      <c r="BX150" s="547"/>
      <c r="BY150" s="547"/>
      <c r="BZ150" s="547"/>
      <c r="CA150" s="547"/>
      <c r="CB150" s="547"/>
      <c r="CC150" s="547"/>
    </row>
    <row r="151" spans="1:81">
      <c r="A151" s="34"/>
      <c r="F151" s="14"/>
      <c r="G151" s="14"/>
      <c r="H151" s="14"/>
      <c r="I151" s="14"/>
      <c r="J151" s="14"/>
      <c r="K151" s="14"/>
      <c r="L151" s="14"/>
      <c r="M151" s="14"/>
      <c r="N151" s="14"/>
      <c r="O151" s="14"/>
      <c r="P151" s="14"/>
      <c r="Q151" s="14"/>
      <c r="R151" s="14"/>
      <c r="S151" s="14"/>
      <c r="T151" s="14"/>
      <c r="U151" s="14"/>
      <c r="V151" s="14"/>
      <c r="W151" s="14"/>
      <c r="X151" s="14"/>
      <c r="Y151" s="14"/>
      <c r="Z151" s="14"/>
      <c r="AA151" s="14"/>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7"/>
      <c r="BW151" s="547"/>
      <c r="BX151" s="547"/>
      <c r="BY151" s="547"/>
      <c r="BZ151" s="547"/>
      <c r="CA151" s="547"/>
      <c r="CB151" s="547"/>
      <c r="CC151" s="547"/>
    </row>
    <row r="152" spans="1:81">
      <c r="A152" s="34"/>
      <c r="F152" s="14"/>
      <c r="G152" s="14"/>
      <c r="H152" s="14"/>
      <c r="I152" s="14"/>
      <c r="J152" s="14"/>
      <c r="K152" s="14"/>
      <c r="L152" s="14"/>
      <c r="M152" s="14"/>
      <c r="N152" s="14"/>
      <c r="O152" s="14"/>
      <c r="P152" s="14"/>
      <c r="Q152" s="14"/>
      <c r="R152" s="14"/>
      <c r="S152" s="14"/>
      <c r="T152" s="14"/>
      <c r="U152" s="14"/>
      <c r="V152" s="14"/>
      <c r="W152" s="14"/>
      <c r="X152" s="14"/>
      <c r="Y152" s="14"/>
      <c r="Z152" s="14"/>
      <c r="AA152" s="14"/>
      <c r="AO152" s="547"/>
      <c r="AP152" s="547"/>
      <c r="AQ152" s="547"/>
      <c r="AR152" s="547"/>
      <c r="AS152" s="547"/>
      <c r="AT152" s="547"/>
      <c r="AU152" s="547"/>
      <c r="AV152" s="547"/>
      <c r="AW152" s="547"/>
      <c r="AX152" s="547"/>
      <c r="AY152" s="547"/>
      <c r="AZ152" s="547"/>
      <c r="BA152" s="547"/>
      <c r="BB152" s="547"/>
      <c r="BC152" s="547"/>
      <c r="BD152" s="547"/>
      <c r="BE152" s="547"/>
      <c r="BF152" s="547"/>
      <c r="BG152" s="547"/>
      <c r="BH152" s="547"/>
      <c r="BI152" s="547"/>
      <c r="BJ152" s="547"/>
      <c r="BK152" s="547"/>
      <c r="BL152" s="547"/>
      <c r="BM152" s="547"/>
      <c r="BN152" s="547"/>
      <c r="BO152" s="547"/>
      <c r="BP152" s="547"/>
      <c r="BQ152" s="547"/>
      <c r="BR152" s="547"/>
      <c r="BS152" s="547"/>
      <c r="BT152" s="547"/>
      <c r="BU152" s="547"/>
      <c r="BV152" s="547"/>
      <c r="BW152" s="547"/>
      <c r="BX152" s="547"/>
      <c r="BY152" s="547"/>
      <c r="BZ152" s="547"/>
      <c r="CA152" s="547"/>
      <c r="CB152" s="547"/>
      <c r="CC152" s="547"/>
    </row>
    <row r="153" spans="1:81">
      <c r="A153" s="34"/>
      <c r="F153" s="14"/>
      <c r="G153" s="14"/>
      <c r="H153" s="14"/>
      <c r="I153" s="14"/>
      <c r="J153" s="14"/>
      <c r="K153" s="14"/>
      <c r="L153" s="14"/>
      <c r="M153" s="14"/>
      <c r="N153" s="14"/>
      <c r="O153" s="14"/>
      <c r="P153" s="14"/>
      <c r="Q153" s="14"/>
      <c r="R153" s="14"/>
      <c r="S153" s="14"/>
      <c r="T153" s="14"/>
      <c r="U153" s="14"/>
      <c r="V153" s="14"/>
      <c r="W153" s="14"/>
      <c r="X153" s="14"/>
      <c r="Y153" s="14"/>
      <c r="Z153" s="14"/>
      <c r="AA153" s="14"/>
      <c r="AO153" s="547"/>
      <c r="AP153" s="547"/>
      <c r="AQ153" s="547"/>
      <c r="AR153" s="547"/>
      <c r="AS153" s="547"/>
      <c r="AT153" s="547"/>
      <c r="AU153" s="547"/>
      <c r="AV153" s="547"/>
      <c r="AW153" s="547"/>
      <c r="AX153" s="547"/>
      <c r="AY153" s="547"/>
      <c r="AZ153" s="547"/>
      <c r="BA153" s="547"/>
      <c r="BB153" s="547"/>
      <c r="BC153" s="547"/>
      <c r="BD153" s="547"/>
      <c r="BE153" s="547"/>
      <c r="BF153" s="547"/>
      <c r="BG153" s="547"/>
      <c r="BH153" s="547"/>
      <c r="BI153" s="547"/>
      <c r="BJ153" s="547"/>
      <c r="BK153" s="547"/>
      <c r="BL153" s="547"/>
      <c r="BM153" s="547"/>
      <c r="BN153" s="547"/>
      <c r="BO153" s="547"/>
      <c r="BP153" s="547"/>
      <c r="BQ153" s="547"/>
      <c r="BR153" s="547"/>
      <c r="BS153" s="547"/>
      <c r="BT153" s="547"/>
      <c r="BU153" s="547"/>
      <c r="BV153" s="547"/>
      <c r="BW153" s="547"/>
      <c r="BX153" s="547"/>
      <c r="BY153" s="547"/>
      <c r="BZ153" s="547"/>
      <c r="CA153" s="547"/>
      <c r="CB153" s="547"/>
      <c r="CC153" s="547"/>
    </row>
    <row r="154" spans="1:81">
      <c r="A154" s="34"/>
      <c r="F154" s="14"/>
      <c r="G154" s="14"/>
      <c r="H154" s="14"/>
      <c r="I154" s="14"/>
      <c r="J154" s="14"/>
      <c r="K154" s="14"/>
      <c r="L154" s="14"/>
      <c r="M154" s="14"/>
      <c r="N154" s="14"/>
      <c r="O154" s="14"/>
      <c r="P154" s="14"/>
      <c r="Q154" s="14"/>
      <c r="R154" s="14"/>
      <c r="S154" s="14"/>
      <c r="T154" s="14"/>
      <c r="U154" s="14"/>
      <c r="V154" s="14"/>
      <c r="W154" s="14"/>
      <c r="X154" s="14"/>
      <c r="Y154" s="14"/>
      <c r="Z154" s="14"/>
      <c r="AA154" s="14"/>
      <c r="AO154" s="547"/>
      <c r="AP154" s="547"/>
      <c r="AQ154" s="547"/>
      <c r="AR154" s="547"/>
      <c r="AS154" s="547"/>
      <c r="AT154" s="547"/>
      <c r="AU154" s="547"/>
      <c r="AV154" s="547"/>
      <c r="AW154" s="547"/>
      <c r="AX154" s="547"/>
      <c r="AY154" s="547"/>
      <c r="AZ154" s="547"/>
      <c r="BA154" s="547"/>
      <c r="BB154" s="547"/>
      <c r="BC154" s="547"/>
      <c r="BD154" s="547"/>
      <c r="BE154" s="547"/>
      <c r="BF154" s="547"/>
      <c r="BG154" s="547"/>
      <c r="BH154" s="547"/>
      <c r="BI154" s="547"/>
      <c r="BJ154" s="547"/>
      <c r="BK154" s="547"/>
      <c r="BL154" s="547"/>
      <c r="BM154" s="547"/>
      <c r="BN154" s="547"/>
      <c r="BO154" s="547"/>
      <c r="BP154" s="547"/>
      <c r="BQ154" s="547"/>
      <c r="BR154" s="547"/>
      <c r="BS154" s="547"/>
      <c r="BT154" s="547"/>
      <c r="BU154" s="547"/>
      <c r="BV154" s="547"/>
      <c r="BW154" s="547"/>
      <c r="BX154" s="547"/>
      <c r="BY154" s="547"/>
      <c r="BZ154" s="547"/>
      <c r="CA154" s="547"/>
      <c r="CB154" s="547"/>
      <c r="CC154" s="547"/>
    </row>
    <row r="155" spans="1:81">
      <c r="A155" s="34"/>
      <c r="F155" s="14"/>
      <c r="G155" s="14"/>
      <c r="H155" s="14"/>
      <c r="I155" s="14"/>
      <c r="J155" s="14"/>
      <c r="K155" s="14"/>
      <c r="L155" s="14"/>
      <c r="M155" s="14"/>
      <c r="N155" s="14"/>
      <c r="O155" s="14"/>
      <c r="P155" s="14"/>
      <c r="Q155" s="14"/>
      <c r="R155" s="14"/>
      <c r="S155" s="14"/>
      <c r="T155" s="14"/>
      <c r="U155" s="14"/>
      <c r="V155" s="14"/>
      <c r="W155" s="14"/>
      <c r="X155" s="14"/>
      <c r="Y155" s="14"/>
      <c r="Z155" s="14"/>
      <c r="AA155" s="14"/>
      <c r="AO155" s="547"/>
      <c r="AP155" s="547"/>
      <c r="AQ155" s="547"/>
      <c r="AR155" s="547"/>
      <c r="AS155" s="547"/>
      <c r="AT155" s="547"/>
      <c r="AU155" s="547"/>
      <c r="AV155" s="547"/>
      <c r="AW155" s="547"/>
      <c r="AX155" s="547"/>
      <c r="AY155" s="547"/>
      <c r="AZ155" s="547"/>
      <c r="BA155" s="547"/>
      <c r="BB155" s="547"/>
      <c r="BC155" s="547"/>
      <c r="BD155" s="547"/>
      <c r="BE155" s="547"/>
      <c r="BF155" s="547"/>
      <c r="BG155" s="547"/>
      <c r="BH155" s="547"/>
      <c r="BI155" s="547"/>
      <c r="BJ155" s="547"/>
      <c r="BK155" s="547"/>
      <c r="BL155" s="547"/>
      <c r="BM155" s="547"/>
      <c r="BN155" s="547"/>
      <c r="BO155" s="547"/>
      <c r="BP155" s="547"/>
      <c r="BQ155" s="547"/>
      <c r="BR155" s="547"/>
      <c r="BS155" s="547"/>
      <c r="BT155" s="547"/>
      <c r="BU155" s="547"/>
      <c r="BV155" s="547"/>
      <c r="BW155" s="547"/>
      <c r="BX155" s="547"/>
      <c r="BY155" s="547"/>
      <c r="BZ155" s="547"/>
      <c r="CA155" s="547"/>
      <c r="CB155" s="547"/>
      <c r="CC155" s="547"/>
    </row>
    <row r="156" spans="1:81">
      <c r="A156" s="34"/>
      <c r="F156" s="14"/>
      <c r="G156" s="14"/>
      <c r="H156" s="14"/>
      <c r="I156" s="14"/>
      <c r="J156" s="14"/>
      <c r="K156" s="14"/>
      <c r="L156" s="14"/>
      <c r="M156" s="14"/>
      <c r="N156" s="14"/>
      <c r="O156" s="14"/>
      <c r="P156" s="14"/>
      <c r="Q156" s="14"/>
      <c r="R156" s="14"/>
      <c r="S156" s="14"/>
      <c r="T156" s="14"/>
      <c r="U156" s="14"/>
      <c r="V156" s="14"/>
      <c r="W156" s="14"/>
      <c r="X156" s="14"/>
      <c r="Y156" s="14"/>
      <c r="Z156" s="14"/>
      <c r="AA156" s="14"/>
      <c r="AO156" s="547"/>
      <c r="AP156" s="547"/>
      <c r="AQ156" s="547"/>
      <c r="AR156" s="547"/>
      <c r="AS156" s="547"/>
      <c r="AT156" s="547"/>
      <c r="AU156" s="547"/>
      <c r="AV156" s="547"/>
      <c r="AW156" s="547"/>
      <c r="AX156" s="547"/>
      <c r="AY156" s="547"/>
      <c r="AZ156" s="547"/>
      <c r="BA156" s="547"/>
      <c r="BB156" s="547"/>
      <c r="BC156" s="547"/>
      <c r="BD156" s="547"/>
      <c r="BE156" s="547"/>
      <c r="BF156" s="547"/>
      <c r="BG156" s="547"/>
      <c r="BH156" s="547"/>
      <c r="BI156" s="547"/>
      <c r="BJ156" s="547"/>
      <c r="BK156" s="547"/>
      <c r="BL156" s="547"/>
      <c r="BM156" s="547"/>
      <c r="BN156" s="547"/>
      <c r="BO156" s="547"/>
      <c r="BP156" s="547"/>
      <c r="BQ156" s="547"/>
      <c r="BR156" s="547"/>
      <c r="BS156" s="547"/>
      <c r="BT156" s="547"/>
      <c r="BU156" s="547"/>
      <c r="BV156" s="547"/>
      <c r="BW156" s="547"/>
      <c r="BX156" s="547"/>
      <c r="BY156" s="547"/>
      <c r="BZ156" s="547"/>
      <c r="CA156" s="547"/>
      <c r="CB156" s="547"/>
      <c r="CC156" s="547"/>
    </row>
    <row r="157" spans="1:81">
      <c r="A157" s="34"/>
      <c r="F157" s="14"/>
      <c r="G157" s="14"/>
      <c r="H157" s="14"/>
      <c r="I157" s="14"/>
      <c r="J157" s="14"/>
      <c r="K157" s="14"/>
      <c r="L157" s="14"/>
      <c r="M157" s="14"/>
      <c r="N157" s="14"/>
      <c r="O157" s="14"/>
      <c r="P157" s="14"/>
      <c r="Q157" s="14"/>
      <c r="R157" s="14"/>
      <c r="S157" s="14"/>
      <c r="T157" s="14"/>
      <c r="U157" s="14"/>
      <c r="V157" s="14"/>
      <c r="W157" s="14"/>
      <c r="X157" s="14"/>
      <c r="Y157" s="14"/>
      <c r="Z157" s="14"/>
      <c r="AA157" s="14"/>
      <c r="AO157" s="547"/>
      <c r="AP157" s="547"/>
      <c r="AQ157" s="547"/>
      <c r="AR157" s="547"/>
      <c r="AS157" s="547"/>
      <c r="AT157" s="547"/>
      <c r="AU157" s="547"/>
      <c r="AV157" s="547"/>
      <c r="AW157" s="547"/>
      <c r="AX157" s="547"/>
      <c r="AY157" s="547"/>
      <c r="AZ157" s="547"/>
      <c r="BA157" s="547"/>
      <c r="BB157" s="547"/>
      <c r="BC157" s="547"/>
      <c r="BD157" s="547"/>
      <c r="BE157" s="547"/>
      <c r="BF157" s="547"/>
      <c r="BG157" s="547"/>
      <c r="BH157" s="547"/>
      <c r="BI157" s="547"/>
      <c r="BJ157" s="547"/>
      <c r="BK157" s="547"/>
      <c r="BL157" s="547"/>
      <c r="BM157" s="547"/>
      <c r="BN157" s="547"/>
      <c r="BO157" s="547"/>
      <c r="BP157" s="547"/>
      <c r="BQ157" s="547"/>
      <c r="BR157" s="547"/>
      <c r="BS157" s="547"/>
      <c r="BT157" s="547"/>
      <c r="BU157" s="547"/>
      <c r="BV157" s="547"/>
      <c r="BW157" s="547"/>
      <c r="BX157" s="547"/>
      <c r="BY157" s="547"/>
      <c r="BZ157" s="547"/>
      <c r="CA157" s="547"/>
      <c r="CB157" s="547"/>
      <c r="CC157" s="547"/>
    </row>
    <row r="158" spans="1:81">
      <c r="A158" s="34"/>
      <c r="F158" s="14"/>
      <c r="G158" s="14"/>
      <c r="H158" s="14"/>
      <c r="I158" s="14"/>
      <c r="J158" s="14"/>
      <c r="K158" s="14"/>
      <c r="L158" s="14"/>
      <c r="M158" s="14"/>
      <c r="N158" s="14"/>
      <c r="O158" s="14"/>
      <c r="P158" s="14"/>
      <c r="Q158" s="14"/>
      <c r="R158" s="14"/>
      <c r="S158" s="14"/>
      <c r="T158" s="14"/>
      <c r="U158" s="14"/>
      <c r="V158" s="14"/>
      <c r="W158" s="14"/>
      <c r="X158" s="14"/>
      <c r="Y158" s="14"/>
      <c r="Z158" s="14"/>
      <c r="AA158" s="14"/>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7"/>
      <c r="BW158" s="547"/>
      <c r="BX158" s="547"/>
      <c r="BY158" s="547"/>
      <c r="BZ158" s="547"/>
      <c r="CA158" s="547"/>
      <c r="CB158" s="547"/>
      <c r="CC158" s="547"/>
    </row>
    <row r="159" spans="1:81">
      <c r="A159" s="34"/>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7"/>
      <c r="BW159" s="547"/>
      <c r="BX159" s="547"/>
      <c r="BY159" s="547"/>
      <c r="BZ159" s="547"/>
      <c r="CA159" s="547"/>
      <c r="CB159" s="547"/>
      <c r="CC159" s="547"/>
    </row>
    <row r="160" spans="1:81">
      <c r="A160" s="34"/>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7"/>
      <c r="BW160" s="547"/>
      <c r="BX160" s="547"/>
      <c r="BY160" s="547"/>
      <c r="BZ160" s="547"/>
      <c r="CA160" s="547"/>
      <c r="CB160" s="547"/>
      <c r="CC160" s="547"/>
    </row>
    <row r="161" spans="1:81">
      <c r="A161" s="34"/>
      <c r="AO161" s="547"/>
      <c r="AP161" s="547"/>
      <c r="AQ161" s="547"/>
      <c r="AR161" s="547"/>
      <c r="AS161" s="547"/>
      <c r="AT161" s="547"/>
      <c r="AU161" s="547"/>
      <c r="AV161" s="547"/>
      <c r="AW161" s="547"/>
      <c r="AX161" s="547"/>
      <c r="AY161" s="547"/>
      <c r="AZ161" s="547"/>
      <c r="BA161" s="547"/>
      <c r="BB161" s="547"/>
      <c r="BC161" s="547"/>
      <c r="BD161" s="547"/>
      <c r="BE161" s="547"/>
      <c r="BF161" s="547"/>
      <c r="BG161" s="547"/>
      <c r="BH161" s="547"/>
      <c r="BI161" s="547"/>
      <c r="BJ161" s="547"/>
      <c r="BK161" s="547"/>
      <c r="BL161" s="547"/>
      <c r="BM161" s="547"/>
      <c r="BN161" s="547"/>
      <c r="BO161" s="547"/>
      <c r="BP161" s="547"/>
      <c r="BQ161" s="547"/>
      <c r="BR161" s="547"/>
      <c r="BS161" s="547"/>
      <c r="BT161" s="547"/>
      <c r="BU161" s="547"/>
      <c r="BV161" s="547"/>
      <c r="BW161" s="547"/>
      <c r="BX161" s="547"/>
      <c r="BY161" s="547"/>
      <c r="BZ161" s="547"/>
      <c r="CA161" s="547"/>
      <c r="CB161" s="547"/>
      <c r="CC161" s="547"/>
    </row>
    <row r="162" spans="1:81">
      <c r="A162" s="34"/>
      <c r="AO162" s="547"/>
      <c r="AP162" s="547"/>
      <c r="AQ162" s="547"/>
      <c r="AR162" s="547"/>
      <c r="AS162" s="547"/>
      <c r="AT162" s="547"/>
      <c r="AU162" s="547"/>
      <c r="AV162" s="547"/>
      <c r="AW162" s="547"/>
      <c r="AX162" s="547"/>
      <c r="AY162" s="547"/>
      <c r="AZ162" s="547"/>
      <c r="BA162" s="547"/>
      <c r="BB162" s="547"/>
      <c r="BC162" s="547"/>
      <c r="BD162" s="547"/>
      <c r="BE162" s="547"/>
      <c r="BF162" s="547"/>
      <c r="BG162" s="547"/>
      <c r="BH162" s="547"/>
      <c r="BI162" s="547"/>
      <c r="BJ162" s="547"/>
      <c r="BK162" s="547"/>
      <c r="BL162" s="547"/>
      <c r="BM162" s="547"/>
      <c r="BN162" s="547"/>
      <c r="BO162" s="547"/>
      <c r="BP162" s="547"/>
      <c r="BQ162" s="547"/>
      <c r="BR162" s="547"/>
      <c r="BS162" s="547"/>
      <c r="BT162" s="547"/>
      <c r="BU162" s="547"/>
      <c r="BV162" s="547"/>
      <c r="BW162" s="547"/>
      <c r="BX162" s="547"/>
      <c r="BY162" s="547"/>
      <c r="BZ162" s="547"/>
      <c r="CA162" s="547"/>
      <c r="CB162" s="547"/>
      <c r="CC162" s="547"/>
    </row>
    <row r="163" spans="1:81">
      <c r="A163" s="34"/>
      <c r="AO163" s="547"/>
      <c r="AP163" s="547"/>
      <c r="AQ163" s="547"/>
      <c r="AR163" s="547"/>
      <c r="AS163" s="547"/>
      <c r="AT163" s="547"/>
      <c r="AU163" s="547"/>
      <c r="AV163" s="547"/>
      <c r="AW163" s="547"/>
      <c r="AX163" s="547"/>
      <c r="AY163" s="547"/>
      <c r="AZ163" s="547"/>
      <c r="BA163" s="547"/>
      <c r="BB163" s="547"/>
      <c r="BC163" s="547"/>
      <c r="BD163" s="547"/>
      <c r="BE163" s="547"/>
      <c r="BF163" s="547"/>
      <c r="BG163" s="547"/>
      <c r="BH163" s="547"/>
      <c r="BI163" s="547"/>
      <c r="BJ163" s="547"/>
      <c r="BK163" s="547"/>
      <c r="BL163" s="547"/>
      <c r="BM163" s="547"/>
      <c r="BN163" s="547"/>
      <c r="BO163" s="547"/>
      <c r="BP163" s="547"/>
      <c r="BQ163" s="547"/>
      <c r="BR163" s="547"/>
      <c r="BS163" s="547"/>
      <c r="BT163" s="547"/>
      <c r="BU163" s="547"/>
      <c r="BV163" s="547"/>
      <c r="BW163" s="547"/>
      <c r="BX163" s="547"/>
      <c r="BY163" s="547"/>
      <c r="BZ163" s="547"/>
      <c r="CA163" s="547"/>
      <c r="CB163" s="547"/>
      <c r="CC163" s="547"/>
    </row>
    <row r="164" spans="1:81">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7"/>
      <c r="BY164" s="547"/>
      <c r="BZ164" s="547"/>
      <c r="CA164" s="547"/>
      <c r="CB164" s="547"/>
      <c r="CC164" s="547"/>
    </row>
    <row r="165" spans="1:81">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7"/>
      <c r="BY165" s="547"/>
      <c r="BZ165" s="547"/>
      <c r="CA165" s="547"/>
      <c r="CB165" s="547"/>
      <c r="CC165" s="547"/>
    </row>
    <row r="166" spans="1:81">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547"/>
      <c r="CB166" s="547"/>
      <c r="CC166" s="547"/>
    </row>
    <row r="167" spans="1:81">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7"/>
      <c r="BY167" s="547"/>
      <c r="BZ167" s="547"/>
      <c r="CA167" s="547"/>
      <c r="CB167" s="547"/>
      <c r="CC167" s="547"/>
    </row>
    <row r="168" spans="1:81">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7"/>
      <c r="BY168" s="547"/>
      <c r="BZ168" s="547"/>
      <c r="CA168" s="547"/>
      <c r="CB168" s="547"/>
      <c r="CC168" s="547"/>
    </row>
    <row r="169" spans="1:81">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7"/>
      <c r="BW169" s="547"/>
      <c r="BX169" s="547"/>
      <c r="BY169" s="547"/>
      <c r="BZ169" s="547"/>
      <c r="CA169" s="547"/>
      <c r="CB169" s="547"/>
      <c r="CC169" s="547"/>
    </row>
    <row r="170" spans="1:81">
      <c r="AO170" s="547"/>
      <c r="AP170" s="547"/>
      <c r="AQ170" s="547"/>
      <c r="AR170" s="547"/>
      <c r="AS170" s="547"/>
      <c r="AT170" s="547"/>
      <c r="AU170" s="547"/>
      <c r="AV170" s="547"/>
      <c r="AW170" s="547"/>
      <c r="AX170" s="547"/>
      <c r="AY170" s="547"/>
      <c r="AZ170" s="547"/>
      <c r="BA170" s="547"/>
      <c r="BB170" s="547"/>
      <c r="BC170" s="547"/>
      <c r="BD170" s="547"/>
      <c r="BE170" s="547"/>
      <c r="BF170" s="547"/>
      <c r="BG170" s="547"/>
      <c r="BH170" s="547"/>
      <c r="BI170" s="547"/>
      <c r="BJ170" s="547"/>
      <c r="BK170" s="547"/>
      <c r="BL170" s="547"/>
      <c r="BM170" s="547"/>
      <c r="BN170" s="547"/>
      <c r="BO170" s="547"/>
      <c r="BP170" s="547"/>
      <c r="BQ170" s="547"/>
      <c r="BR170" s="547"/>
      <c r="BS170" s="547"/>
      <c r="BT170" s="547"/>
      <c r="BU170" s="547"/>
      <c r="BV170" s="547"/>
      <c r="BW170" s="547"/>
      <c r="BX170" s="547"/>
      <c r="BY170" s="547"/>
      <c r="BZ170" s="547"/>
      <c r="CA170" s="547"/>
      <c r="CB170" s="547"/>
      <c r="CC170" s="547"/>
    </row>
    <row r="171" spans="1:81">
      <c r="AO171" s="547"/>
      <c r="AP171" s="547"/>
      <c r="AQ171" s="547"/>
      <c r="AR171" s="547"/>
      <c r="AS171" s="547"/>
      <c r="AT171" s="547"/>
      <c r="AU171" s="547"/>
      <c r="AV171" s="547"/>
      <c r="AW171" s="547"/>
      <c r="AX171" s="547"/>
      <c r="AY171" s="547"/>
      <c r="AZ171" s="547"/>
      <c r="BA171" s="547"/>
      <c r="BB171" s="547"/>
      <c r="BC171" s="547"/>
      <c r="BD171" s="547"/>
      <c r="BE171" s="547"/>
      <c r="BF171" s="547"/>
      <c r="BG171" s="547"/>
      <c r="BH171" s="547"/>
      <c r="BI171" s="547"/>
      <c r="BJ171" s="547"/>
      <c r="BK171" s="547"/>
      <c r="BL171" s="547"/>
      <c r="BM171" s="547"/>
      <c r="BN171" s="547"/>
      <c r="BO171" s="547"/>
      <c r="BP171" s="547"/>
      <c r="BQ171" s="547"/>
      <c r="BR171" s="547"/>
      <c r="BS171" s="547"/>
      <c r="BT171" s="547"/>
      <c r="BU171" s="547"/>
      <c r="BV171" s="547"/>
      <c r="BW171" s="547"/>
      <c r="BX171" s="547"/>
      <c r="BY171" s="547"/>
      <c r="BZ171" s="547"/>
      <c r="CA171" s="547"/>
      <c r="CB171" s="547"/>
      <c r="CC171" s="547"/>
    </row>
    <row r="172" spans="1:81">
      <c r="AD172" s="547"/>
      <c r="AE172" s="547"/>
      <c r="AF172" s="547"/>
      <c r="AG172" s="547"/>
      <c r="AH172" s="547"/>
      <c r="AI172" s="547"/>
      <c r="AJ172" s="547"/>
      <c r="AK172" s="547"/>
      <c r="AL172" s="547"/>
      <c r="AM172" s="547"/>
      <c r="AN172" s="547"/>
      <c r="AO172" s="547"/>
      <c r="AP172" s="547"/>
      <c r="AQ172" s="547"/>
      <c r="AR172" s="547"/>
      <c r="AS172" s="547"/>
      <c r="AT172" s="547"/>
      <c r="AU172" s="547"/>
      <c r="AV172" s="547"/>
      <c r="AW172" s="547"/>
      <c r="AX172" s="547"/>
      <c r="AY172" s="547"/>
      <c r="AZ172" s="547"/>
      <c r="BA172" s="547"/>
      <c r="BB172" s="547"/>
      <c r="BC172" s="547"/>
      <c r="BD172" s="547"/>
      <c r="BE172" s="547"/>
      <c r="BF172" s="547"/>
      <c r="BG172" s="547"/>
      <c r="BH172" s="547"/>
      <c r="BI172" s="547"/>
      <c r="BJ172" s="547"/>
      <c r="BK172" s="547"/>
      <c r="BL172" s="547"/>
      <c r="BM172" s="547"/>
      <c r="BN172" s="547"/>
      <c r="BO172" s="547"/>
      <c r="BP172" s="547"/>
      <c r="BQ172" s="547"/>
      <c r="BR172" s="547"/>
      <c r="BS172" s="547"/>
      <c r="BT172" s="547"/>
      <c r="BU172" s="547"/>
      <c r="BV172" s="547"/>
      <c r="BW172" s="547"/>
      <c r="BX172" s="547"/>
      <c r="BY172" s="547"/>
      <c r="BZ172" s="547"/>
      <c r="CA172" s="547"/>
      <c r="CB172" s="547"/>
      <c r="CC172" s="547"/>
    </row>
    <row r="173" spans="1:81">
      <c r="AD173" s="547"/>
      <c r="AE173" s="547"/>
      <c r="AF173" s="547"/>
      <c r="AG173" s="547"/>
      <c r="AH173" s="547"/>
      <c r="AI173" s="547"/>
      <c r="AJ173" s="547"/>
      <c r="AK173" s="547"/>
      <c r="AL173" s="547"/>
      <c r="AM173" s="547"/>
      <c r="AN173" s="547"/>
      <c r="AO173" s="547"/>
      <c r="AP173" s="547"/>
      <c r="AQ173" s="547"/>
      <c r="AR173" s="547"/>
      <c r="AS173" s="547"/>
      <c r="AT173" s="547"/>
      <c r="AU173" s="547"/>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7"/>
      <c r="BY173" s="547"/>
      <c r="BZ173" s="547"/>
      <c r="CA173" s="547"/>
      <c r="CB173" s="547"/>
      <c r="CC173" s="547"/>
    </row>
    <row r="174" spans="1:81">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row>
    <row r="175" spans="1:81">
      <c r="AD175" s="547"/>
      <c r="AE175" s="547"/>
      <c r="AF175" s="547"/>
      <c r="AG175" s="547"/>
      <c r="AH175" s="547"/>
      <c r="AI175" s="547"/>
      <c r="AJ175" s="547"/>
      <c r="AK175" s="547"/>
      <c r="AL175" s="547"/>
      <c r="AM175" s="547"/>
      <c r="AN175" s="547"/>
      <c r="AO175" s="547"/>
      <c r="AP175" s="547"/>
      <c r="AQ175" s="547"/>
      <c r="AR175" s="547"/>
      <c r="AS175" s="547"/>
      <c r="AT175" s="547"/>
      <c r="AU175" s="547"/>
      <c r="AV175" s="547"/>
      <c r="AW175" s="547"/>
      <c r="AX175" s="547"/>
      <c r="AY175" s="547"/>
      <c r="AZ175" s="547"/>
      <c r="BA175" s="547"/>
      <c r="BB175" s="547"/>
      <c r="BC175" s="547"/>
      <c r="BD175" s="547"/>
      <c r="BE175" s="547"/>
      <c r="BF175" s="547"/>
      <c r="BG175" s="547"/>
      <c r="BH175" s="547"/>
      <c r="BI175" s="547"/>
      <c r="BJ175" s="547"/>
      <c r="BK175" s="547"/>
      <c r="BL175" s="547"/>
      <c r="BM175" s="547"/>
      <c r="BN175" s="547"/>
      <c r="BO175" s="547"/>
      <c r="BP175" s="547"/>
      <c r="BQ175" s="547"/>
      <c r="BR175" s="547"/>
      <c r="BS175" s="547"/>
      <c r="BT175" s="547"/>
      <c r="BU175" s="547"/>
      <c r="BV175" s="547"/>
      <c r="BW175" s="547"/>
      <c r="BX175" s="547"/>
      <c r="BY175" s="547"/>
      <c r="BZ175" s="547"/>
      <c r="CA175" s="547"/>
      <c r="CB175" s="547"/>
      <c r="CC175" s="547"/>
    </row>
    <row r="176" spans="1:81">
      <c r="AD176" s="547"/>
      <c r="AE176" s="547"/>
      <c r="AF176" s="547"/>
      <c r="AG176" s="547"/>
      <c r="AH176" s="547"/>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7"/>
      <c r="BW176" s="547"/>
      <c r="BX176" s="547"/>
      <c r="BY176" s="547"/>
      <c r="BZ176" s="547"/>
      <c r="CA176" s="547"/>
      <c r="CB176" s="547"/>
      <c r="CC176" s="547"/>
    </row>
    <row r="177" spans="30:81">
      <c r="AD177" s="547"/>
      <c r="AE177" s="547"/>
      <c r="AF177" s="547"/>
      <c r="AG177" s="547"/>
      <c r="AH177" s="547"/>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7"/>
      <c r="BW177" s="547"/>
      <c r="BX177" s="547"/>
      <c r="BY177" s="547"/>
      <c r="BZ177" s="547"/>
      <c r="CA177" s="547"/>
      <c r="CB177" s="547"/>
      <c r="CC177" s="547"/>
    </row>
    <row r="178" spans="30:81">
      <c r="AD178" s="547"/>
      <c r="AE178" s="547"/>
      <c r="AF178" s="547"/>
      <c r="AG178" s="547"/>
      <c r="AH178" s="547"/>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7"/>
      <c r="BW178" s="547"/>
      <c r="BX178" s="547"/>
      <c r="BY178" s="547"/>
      <c r="BZ178" s="547"/>
      <c r="CA178" s="547"/>
      <c r="CB178" s="547"/>
      <c r="CC178" s="547"/>
    </row>
    <row r="179" spans="30:81">
      <c r="AD179" s="547"/>
      <c r="AE179" s="547"/>
      <c r="AF179" s="547"/>
      <c r="AG179" s="547"/>
      <c r="AH179" s="547"/>
      <c r="AI179" s="547"/>
      <c r="AJ179" s="547"/>
      <c r="AK179" s="547"/>
      <c r="AL179" s="547"/>
      <c r="AM179" s="547"/>
      <c r="AN179" s="547"/>
      <c r="AO179" s="547"/>
      <c r="AP179" s="547"/>
      <c r="AQ179" s="547"/>
      <c r="AR179" s="547"/>
      <c r="AS179" s="547"/>
      <c r="AT179" s="547"/>
      <c r="AU179" s="547"/>
      <c r="AV179" s="547"/>
      <c r="AW179" s="547"/>
      <c r="AX179" s="547"/>
      <c r="AY179" s="547"/>
      <c r="AZ179" s="547"/>
      <c r="BA179" s="547"/>
      <c r="BB179" s="547"/>
      <c r="BC179" s="547"/>
      <c r="BD179" s="547"/>
      <c r="BE179" s="547"/>
      <c r="BF179" s="547"/>
      <c r="BG179" s="547"/>
      <c r="BH179" s="547"/>
      <c r="BI179" s="547"/>
      <c r="BJ179" s="547"/>
      <c r="BK179" s="547"/>
      <c r="BL179" s="547"/>
      <c r="BM179" s="547"/>
      <c r="BN179" s="547"/>
      <c r="BO179" s="547"/>
      <c r="BP179" s="547"/>
      <c r="BQ179" s="547"/>
      <c r="BR179" s="547"/>
      <c r="BS179" s="547"/>
      <c r="BT179" s="547"/>
      <c r="BU179" s="547"/>
      <c r="BV179" s="547"/>
      <c r="BW179" s="547"/>
      <c r="BX179" s="547"/>
      <c r="BY179" s="547"/>
      <c r="BZ179" s="547"/>
      <c r="CA179" s="547"/>
      <c r="CB179" s="547"/>
      <c r="CC179" s="547"/>
    </row>
    <row r="180" spans="30:81">
      <c r="AD180" s="547"/>
      <c r="AE180" s="547"/>
      <c r="AF180" s="547"/>
      <c r="AG180" s="547"/>
      <c r="AH180" s="547"/>
      <c r="AI180" s="547"/>
      <c r="AJ180" s="547"/>
      <c r="AK180" s="547"/>
      <c r="AL180" s="547"/>
      <c r="AM180" s="547"/>
      <c r="AN180" s="547"/>
      <c r="AO180" s="547"/>
      <c r="AP180" s="547"/>
      <c r="AQ180" s="547"/>
      <c r="AR180" s="547"/>
      <c r="AS180" s="547"/>
      <c r="AT180" s="547"/>
      <c r="AU180" s="547"/>
      <c r="AV180" s="547"/>
      <c r="AW180" s="547"/>
      <c r="AX180" s="547"/>
      <c r="AY180" s="547"/>
      <c r="AZ180" s="547"/>
      <c r="BA180" s="547"/>
      <c r="BB180" s="547"/>
      <c r="BC180" s="547"/>
      <c r="BD180" s="547"/>
      <c r="BE180" s="547"/>
      <c r="BF180" s="547"/>
      <c r="BG180" s="547"/>
      <c r="BH180" s="547"/>
      <c r="BI180" s="547"/>
      <c r="BJ180" s="547"/>
      <c r="BK180" s="547"/>
      <c r="BL180" s="547"/>
      <c r="BM180" s="547"/>
      <c r="BN180" s="547"/>
      <c r="BO180" s="547"/>
      <c r="BP180" s="547"/>
      <c r="BQ180" s="547"/>
      <c r="BR180" s="547"/>
      <c r="BS180" s="547"/>
      <c r="BT180" s="547"/>
      <c r="BU180" s="547"/>
      <c r="BV180" s="547"/>
      <c r="BW180" s="547"/>
      <c r="BX180" s="547"/>
      <c r="BY180" s="547"/>
      <c r="BZ180" s="547"/>
      <c r="CA180" s="547"/>
      <c r="CB180" s="547"/>
      <c r="CC180" s="547"/>
    </row>
    <row r="181" spans="30:81">
      <c r="AD181" s="547"/>
      <c r="AE181" s="547"/>
      <c r="AF181" s="547"/>
      <c r="AG181" s="547"/>
      <c r="AH181" s="547"/>
      <c r="AI181" s="547"/>
      <c r="AJ181" s="547"/>
      <c r="AK181" s="547"/>
      <c r="AL181" s="547"/>
      <c r="AM181" s="547"/>
      <c r="AN181" s="547"/>
      <c r="AO181" s="547"/>
      <c r="AP181" s="547"/>
      <c r="AQ181" s="547"/>
      <c r="AR181" s="547"/>
      <c r="AS181" s="547"/>
      <c r="AT181" s="547"/>
      <c r="AU181" s="547"/>
      <c r="AV181" s="547"/>
      <c r="AW181" s="547"/>
      <c r="AX181" s="547"/>
      <c r="AY181" s="547"/>
      <c r="AZ181" s="547"/>
      <c r="BA181" s="547"/>
      <c r="BB181" s="547"/>
      <c r="BC181" s="547"/>
      <c r="BD181" s="547"/>
      <c r="BE181" s="547"/>
      <c r="BF181" s="547"/>
      <c r="BG181" s="547"/>
      <c r="BH181" s="547"/>
      <c r="BI181" s="547"/>
      <c r="BJ181" s="547"/>
      <c r="BK181" s="547"/>
      <c r="BL181" s="547"/>
      <c r="BM181" s="547"/>
      <c r="BN181" s="547"/>
      <c r="BO181" s="547"/>
      <c r="BP181" s="547"/>
      <c r="BQ181" s="547"/>
      <c r="BR181" s="547"/>
      <c r="BS181" s="547"/>
      <c r="BT181" s="547"/>
      <c r="BU181" s="547"/>
      <c r="BV181" s="547"/>
      <c r="BW181" s="547"/>
      <c r="BX181" s="547"/>
      <c r="BY181" s="547"/>
      <c r="BZ181" s="547"/>
      <c r="CA181" s="547"/>
      <c r="CB181" s="547"/>
      <c r="CC181" s="547"/>
    </row>
    <row r="182" spans="30:81">
      <c r="AD182" s="547"/>
      <c r="AE182" s="547"/>
      <c r="AF182" s="547"/>
      <c r="AG182" s="547"/>
      <c r="AH182" s="547"/>
      <c r="AI182" s="547"/>
      <c r="AJ182" s="547"/>
      <c r="AK182" s="547"/>
      <c r="AL182" s="547"/>
      <c r="AM182" s="547"/>
      <c r="AN182" s="547"/>
      <c r="AO182" s="547"/>
      <c r="AP182" s="547"/>
      <c r="AQ182" s="547"/>
      <c r="AR182" s="547"/>
      <c r="AS182" s="547"/>
      <c r="AT182" s="547"/>
      <c r="AU182" s="547"/>
      <c r="AV182" s="547"/>
      <c r="AW182" s="547"/>
      <c r="AX182" s="547"/>
      <c r="AY182" s="547"/>
      <c r="AZ182" s="547"/>
      <c r="BA182" s="547"/>
      <c r="BB182" s="547"/>
      <c r="BC182" s="547"/>
      <c r="BD182" s="547"/>
      <c r="BE182" s="547"/>
      <c r="BF182" s="547"/>
      <c r="BG182" s="547"/>
      <c r="BH182" s="547"/>
      <c r="BI182" s="547"/>
      <c r="BJ182" s="547"/>
      <c r="BK182" s="547"/>
      <c r="BL182" s="547"/>
      <c r="BM182" s="547"/>
      <c r="BN182" s="547"/>
      <c r="BO182" s="547"/>
      <c r="BP182" s="547"/>
      <c r="BQ182" s="547"/>
      <c r="BR182" s="547"/>
      <c r="BS182" s="547"/>
      <c r="BT182" s="547"/>
      <c r="BU182" s="547"/>
      <c r="BV182" s="547"/>
      <c r="BW182" s="547"/>
      <c r="BX182" s="547"/>
      <c r="BY182" s="547"/>
      <c r="BZ182" s="547"/>
      <c r="CA182" s="547"/>
      <c r="CB182" s="547"/>
      <c r="CC182" s="547"/>
    </row>
    <row r="183" spans="30:81">
      <c r="AD183" s="547"/>
      <c r="AE183" s="547"/>
      <c r="AF183" s="547"/>
      <c r="AG183" s="547"/>
      <c r="AH183" s="547"/>
      <c r="AI183" s="547"/>
      <c r="AJ183" s="547"/>
      <c r="AK183" s="547"/>
      <c r="AL183" s="547"/>
      <c r="AM183" s="547"/>
      <c r="AN183" s="547"/>
      <c r="AO183" s="547"/>
      <c r="AP183" s="547"/>
      <c r="AQ183" s="547"/>
      <c r="AR183" s="547"/>
      <c r="AS183" s="547"/>
      <c r="AT183" s="547"/>
      <c r="AU183" s="547"/>
      <c r="AV183" s="547"/>
      <c r="AW183" s="547"/>
      <c r="AX183" s="547"/>
      <c r="AY183" s="547"/>
      <c r="AZ183" s="547"/>
      <c r="BA183" s="547"/>
      <c r="BB183" s="547"/>
      <c r="BC183" s="547"/>
      <c r="BD183" s="547"/>
      <c r="BE183" s="547"/>
      <c r="BF183" s="547"/>
      <c r="BG183" s="547"/>
      <c r="BH183" s="547"/>
      <c r="BI183" s="547"/>
      <c r="BJ183" s="547"/>
      <c r="BK183" s="547"/>
      <c r="BL183" s="547"/>
      <c r="BM183" s="547"/>
      <c r="BN183" s="547"/>
      <c r="BO183" s="547"/>
      <c r="BP183" s="547"/>
      <c r="BQ183" s="547"/>
      <c r="BR183" s="547"/>
      <c r="BS183" s="547"/>
      <c r="BT183" s="547"/>
      <c r="BU183" s="547"/>
      <c r="BV183" s="547"/>
      <c r="BW183" s="547"/>
      <c r="BX183" s="547"/>
      <c r="BY183" s="547"/>
      <c r="BZ183" s="547"/>
      <c r="CA183" s="547"/>
      <c r="CB183" s="547"/>
      <c r="CC183" s="547"/>
    </row>
    <row r="184" spans="30:81">
      <c r="AD184" s="547"/>
      <c r="AE184" s="547"/>
      <c r="AF184" s="547"/>
      <c r="AG184" s="547"/>
      <c r="AH184" s="547"/>
      <c r="AI184" s="547"/>
      <c r="AJ184" s="547"/>
      <c r="AK184" s="547"/>
      <c r="AL184" s="547"/>
      <c r="AM184" s="547"/>
      <c r="AN184" s="547"/>
      <c r="AO184" s="547"/>
      <c r="AP184" s="547"/>
      <c r="AQ184" s="547"/>
      <c r="AR184" s="547"/>
      <c r="AS184" s="547"/>
      <c r="AT184" s="547"/>
      <c r="AU184" s="547"/>
      <c r="AV184" s="547"/>
      <c r="AW184" s="547"/>
      <c r="AX184" s="547"/>
      <c r="AY184" s="547"/>
      <c r="AZ184" s="547"/>
      <c r="BA184" s="547"/>
      <c r="BB184" s="547"/>
      <c r="BC184" s="547"/>
      <c r="BD184" s="547"/>
      <c r="BE184" s="547"/>
      <c r="BF184" s="547"/>
      <c r="BG184" s="547"/>
      <c r="BH184" s="547"/>
      <c r="BI184" s="547"/>
      <c r="BJ184" s="547"/>
      <c r="BK184" s="547"/>
      <c r="BL184" s="547"/>
      <c r="BM184" s="547"/>
      <c r="BN184" s="547"/>
      <c r="BO184" s="547"/>
      <c r="BP184" s="547"/>
      <c r="BQ184" s="547"/>
      <c r="BR184" s="547"/>
      <c r="BS184" s="547"/>
      <c r="BT184" s="547"/>
      <c r="BU184" s="547"/>
      <c r="BV184" s="547"/>
      <c r="BW184" s="547"/>
      <c r="BX184" s="547"/>
      <c r="BY184" s="547"/>
      <c r="BZ184" s="547"/>
      <c r="CA184" s="547"/>
      <c r="CB184" s="547"/>
      <c r="CC184" s="547"/>
    </row>
    <row r="185" spans="30:81">
      <c r="AD185" s="547"/>
      <c r="AE185" s="547"/>
      <c r="AF185" s="547"/>
      <c r="AG185" s="547"/>
      <c r="AH185" s="547"/>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7"/>
      <c r="BW185" s="547"/>
      <c r="BX185" s="547"/>
      <c r="BY185" s="547"/>
      <c r="BZ185" s="547"/>
      <c r="CA185" s="547"/>
      <c r="CB185" s="547"/>
      <c r="CC185" s="547"/>
    </row>
    <row r="186" spans="30:81">
      <c r="AD186" s="547"/>
      <c r="AE186" s="547"/>
      <c r="AF186" s="547"/>
      <c r="AG186" s="547"/>
      <c r="AH186" s="547"/>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7"/>
      <c r="BW186" s="547"/>
      <c r="BX186" s="547"/>
      <c r="BY186" s="547"/>
      <c r="BZ186" s="547"/>
      <c r="CA186" s="547"/>
      <c r="CB186" s="547"/>
      <c r="CC186" s="547"/>
    </row>
    <row r="187" spans="30:81">
      <c r="AD187" s="547"/>
      <c r="AE187" s="547"/>
      <c r="AF187" s="547"/>
      <c r="AG187" s="547"/>
      <c r="AH187" s="547"/>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7"/>
      <c r="BW187" s="547"/>
      <c r="BX187" s="547"/>
      <c r="BY187" s="547"/>
      <c r="BZ187" s="547"/>
      <c r="CA187" s="547"/>
      <c r="CB187" s="547"/>
      <c r="CC187" s="547"/>
    </row>
    <row r="188" spans="30:81">
      <c r="AD188" s="547"/>
      <c r="AE188" s="547"/>
      <c r="AF188" s="547"/>
      <c r="AG188" s="547"/>
      <c r="AH188" s="547"/>
      <c r="AI188" s="547"/>
      <c r="AJ188" s="547"/>
      <c r="AK188" s="547"/>
      <c r="AL188" s="547"/>
      <c r="AM188" s="547"/>
      <c r="AN188" s="547"/>
      <c r="AO188" s="547"/>
      <c r="AP188" s="547"/>
      <c r="AQ188" s="547"/>
      <c r="AR188" s="547"/>
      <c r="AS188" s="547"/>
      <c r="AT188" s="547"/>
      <c r="AU188" s="547"/>
      <c r="AV188" s="547"/>
      <c r="AW188" s="547"/>
      <c r="AX188" s="547"/>
      <c r="AY188" s="547"/>
      <c r="AZ188" s="547"/>
      <c r="BA188" s="547"/>
      <c r="BB188" s="547"/>
      <c r="BC188" s="547"/>
      <c r="BD188" s="547"/>
      <c r="BE188" s="547"/>
      <c r="BF188" s="547"/>
      <c r="BG188" s="547"/>
      <c r="BH188" s="547"/>
      <c r="BI188" s="547"/>
      <c r="BJ188" s="547"/>
      <c r="BK188" s="547"/>
      <c r="BL188" s="547"/>
      <c r="BM188" s="547"/>
      <c r="BN188" s="547"/>
      <c r="BO188" s="547"/>
      <c r="BP188" s="547"/>
      <c r="BQ188" s="547"/>
      <c r="BR188" s="547"/>
      <c r="BS188" s="547"/>
      <c r="BT188" s="547"/>
      <c r="BU188" s="547"/>
      <c r="BV188" s="547"/>
      <c r="BW188" s="547"/>
      <c r="BX188" s="547"/>
      <c r="BY188" s="547"/>
      <c r="BZ188" s="547"/>
      <c r="CA188" s="547"/>
      <c r="CB188" s="547"/>
      <c r="CC188" s="547"/>
    </row>
    <row r="189" spans="30:81">
      <c r="AD189" s="547"/>
      <c r="AE189" s="547"/>
      <c r="AF189" s="547"/>
      <c r="AG189" s="547"/>
      <c r="AH189" s="547"/>
      <c r="AI189" s="547"/>
      <c r="AJ189" s="547"/>
      <c r="AK189" s="547"/>
      <c r="AL189" s="547"/>
      <c r="AM189" s="547"/>
      <c r="AN189" s="547"/>
      <c r="AO189" s="547"/>
      <c r="AP189" s="547"/>
      <c r="AQ189" s="547"/>
      <c r="AR189" s="547"/>
      <c r="AS189" s="547"/>
      <c r="AT189" s="547"/>
      <c r="AU189" s="547"/>
      <c r="AV189" s="547"/>
      <c r="AW189" s="547"/>
      <c r="AX189" s="547"/>
      <c r="AY189" s="547"/>
      <c r="AZ189" s="547"/>
      <c r="BA189" s="547"/>
      <c r="BB189" s="547"/>
      <c r="BC189" s="547"/>
      <c r="BD189" s="547"/>
      <c r="BE189" s="547"/>
      <c r="BF189" s="547"/>
      <c r="BG189" s="547"/>
      <c r="BH189" s="547"/>
      <c r="BI189" s="547"/>
      <c r="BJ189" s="547"/>
      <c r="BK189" s="547"/>
      <c r="BL189" s="547"/>
      <c r="BM189" s="547"/>
      <c r="BN189" s="547"/>
      <c r="BO189" s="547"/>
      <c r="BP189" s="547"/>
      <c r="BQ189" s="547"/>
      <c r="BR189" s="547"/>
      <c r="BS189" s="547"/>
      <c r="BT189" s="547"/>
      <c r="BU189" s="547"/>
      <c r="BV189" s="547"/>
      <c r="BW189" s="547"/>
      <c r="BX189" s="547"/>
      <c r="BY189" s="547"/>
      <c r="BZ189" s="547"/>
      <c r="CA189" s="547"/>
      <c r="CB189" s="547"/>
      <c r="CC189" s="547"/>
    </row>
    <row r="190" spans="30:81">
      <c r="AD190" s="547"/>
      <c r="AE190" s="547"/>
      <c r="AF190" s="547"/>
      <c r="AG190" s="547"/>
      <c r="AH190" s="547"/>
      <c r="AI190" s="547"/>
      <c r="AJ190" s="547"/>
      <c r="AK190" s="547"/>
      <c r="AL190" s="547"/>
      <c r="AM190" s="547"/>
      <c r="AN190" s="547"/>
      <c r="AO190" s="547"/>
      <c r="AP190" s="547"/>
      <c r="AQ190" s="547"/>
      <c r="AR190" s="547"/>
      <c r="AS190" s="547"/>
      <c r="AT190" s="547"/>
      <c r="AU190" s="547"/>
      <c r="AV190" s="547"/>
      <c r="AW190" s="547"/>
      <c r="AX190" s="547"/>
      <c r="AY190" s="547"/>
      <c r="AZ190" s="547"/>
      <c r="BA190" s="547"/>
      <c r="BB190" s="547"/>
      <c r="BC190" s="547"/>
      <c r="BD190" s="547"/>
      <c r="BE190" s="547"/>
      <c r="BF190" s="547"/>
      <c r="BG190" s="547"/>
      <c r="BH190" s="547"/>
      <c r="BI190" s="547"/>
      <c r="BJ190" s="547"/>
      <c r="BK190" s="547"/>
      <c r="BL190" s="547"/>
      <c r="BM190" s="547"/>
      <c r="BN190" s="547"/>
      <c r="BO190" s="547"/>
      <c r="BP190" s="547"/>
      <c r="BQ190" s="547"/>
      <c r="BR190" s="547"/>
      <c r="BS190" s="547"/>
      <c r="BT190" s="547"/>
      <c r="BU190" s="547"/>
      <c r="BV190" s="547"/>
      <c r="BW190" s="547"/>
      <c r="BX190" s="547"/>
      <c r="BY190" s="547"/>
      <c r="BZ190" s="547"/>
      <c r="CA190" s="547"/>
      <c r="CB190" s="547"/>
      <c r="CC190" s="547"/>
    </row>
    <row r="191" spans="30:81">
      <c r="AD191" s="547"/>
      <c r="AE191" s="547"/>
      <c r="AF191" s="547"/>
      <c r="AG191" s="547"/>
      <c r="AH191" s="547"/>
      <c r="AI191" s="547"/>
      <c r="AJ191" s="547"/>
      <c r="AK191" s="547"/>
      <c r="AL191" s="547"/>
      <c r="AM191" s="547"/>
      <c r="AN191" s="547"/>
      <c r="AO191" s="547"/>
      <c r="AP191" s="547"/>
      <c r="AQ191" s="547"/>
      <c r="AR191" s="547"/>
      <c r="AS191" s="547"/>
      <c r="AT191" s="547"/>
      <c r="AU191" s="547"/>
      <c r="AV191" s="547"/>
      <c r="AW191" s="547"/>
      <c r="AX191" s="547"/>
      <c r="AY191" s="547"/>
      <c r="AZ191" s="547"/>
      <c r="BA191" s="547"/>
      <c r="BB191" s="547"/>
      <c r="BC191" s="547"/>
      <c r="BD191" s="547"/>
      <c r="BE191" s="547"/>
      <c r="BF191" s="547"/>
      <c r="BG191" s="547"/>
      <c r="BH191" s="547"/>
      <c r="BI191" s="547"/>
      <c r="BJ191" s="547"/>
      <c r="BK191" s="547"/>
      <c r="BL191" s="547"/>
      <c r="BM191" s="547"/>
      <c r="BN191" s="547"/>
      <c r="BO191" s="547"/>
      <c r="BP191" s="547"/>
      <c r="BQ191" s="547"/>
      <c r="BR191" s="547"/>
      <c r="BS191" s="547"/>
      <c r="BT191" s="547"/>
      <c r="BU191" s="547"/>
      <c r="BV191" s="547"/>
      <c r="BW191" s="547"/>
      <c r="BX191" s="547"/>
      <c r="BY191" s="547"/>
      <c r="BZ191" s="547"/>
      <c r="CA191" s="547"/>
      <c r="CB191" s="547"/>
      <c r="CC191" s="547"/>
    </row>
    <row r="192" spans="30:81">
      <c r="AD192" s="547"/>
      <c r="AE192" s="547"/>
      <c r="AF192" s="547"/>
      <c r="AG192" s="547"/>
      <c r="AH192" s="547"/>
      <c r="AI192" s="547"/>
      <c r="AJ192" s="547"/>
      <c r="AK192" s="547"/>
      <c r="AL192" s="547"/>
      <c r="AM192" s="547"/>
      <c r="AN192" s="547"/>
      <c r="AO192" s="547"/>
      <c r="AP192" s="547"/>
      <c r="AQ192" s="547"/>
      <c r="AR192" s="547"/>
      <c r="AS192" s="547"/>
      <c r="AT192" s="547"/>
      <c r="AU192" s="547"/>
      <c r="AV192" s="547"/>
      <c r="AW192" s="547"/>
      <c r="AX192" s="547"/>
      <c r="AY192" s="547"/>
      <c r="AZ192" s="547"/>
      <c r="BA192" s="547"/>
      <c r="BB192" s="547"/>
      <c r="BC192" s="547"/>
      <c r="BD192" s="547"/>
      <c r="BE192" s="547"/>
      <c r="BF192" s="547"/>
      <c r="BG192" s="547"/>
      <c r="BH192" s="547"/>
      <c r="BI192" s="547"/>
      <c r="BJ192" s="547"/>
      <c r="BK192" s="547"/>
      <c r="BL192" s="547"/>
      <c r="BM192" s="547"/>
      <c r="BN192" s="547"/>
      <c r="BO192" s="547"/>
      <c r="BP192" s="547"/>
      <c r="BQ192" s="547"/>
      <c r="BR192" s="547"/>
      <c r="BS192" s="547"/>
      <c r="BT192" s="547"/>
      <c r="BU192" s="547"/>
      <c r="BV192" s="547"/>
      <c r="BW192" s="547"/>
      <c r="BX192" s="547"/>
      <c r="BY192" s="547"/>
      <c r="BZ192" s="547"/>
      <c r="CA192" s="547"/>
      <c r="CB192" s="547"/>
      <c r="CC192" s="547"/>
    </row>
    <row r="193" spans="1:81">
      <c r="A193" s="547"/>
      <c r="B193" s="547"/>
      <c r="C193" s="547"/>
      <c r="D193" s="547"/>
      <c r="E193" s="547"/>
      <c r="F193" s="547"/>
      <c r="G193" s="547"/>
      <c r="H193" s="547"/>
      <c r="I193" s="547"/>
      <c r="J193" s="547"/>
      <c r="K193" s="547"/>
      <c r="L193" s="547"/>
      <c r="M193" s="547"/>
      <c r="N193" s="547"/>
      <c r="O193" s="547"/>
      <c r="P193" s="547"/>
      <c r="Q193" s="547"/>
      <c r="R193" s="547"/>
      <c r="S193" s="547"/>
      <c r="T193" s="547"/>
      <c r="U193" s="547"/>
      <c r="V193" s="547"/>
      <c r="W193" s="547"/>
      <c r="X193" s="547"/>
      <c r="Y193" s="547"/>
      <c r="Z193" s="547"/>
      <c r="AA193" s="547"/>
      <c r="AC193" s="547"/>
      <c r="AD193" s="547"/>
      <c r="AE193" s="547"/>
      <c r="AF193" s="547"/>
      <c r="AG193" s="547"/>
      <c r="AH193" s="547"/>
      <c r="AI193" s="547"/>
      <c r="AJ193" s="547"/>
      <c r="AK193" s="547"/>
      <c r="AL193" s="547"/>
      <c r="AM193" s="547"/>
      <c r="AN193" s="547"/>
      <c r="AO193" s="547"/>
      <c r="AP193" s="547"/>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547"/>
      <c r="CB193" s="547"/>
      <c r="CC193" s="547"/>
    </row>
    <row r="194" spans="1:81">
      <c r="A194" s="547"/>
      <c r="B194" s="547"/>
      <c r="C194" s="547"/>
      <c r="D194" s="547"/>
      <c r="E194" s="547"/>
      <c r="F194" s="547"/>
      <c r="G194" s="547"/>
      <c r="H194" s="547"/>
      <c r="I194" s="547"/>
      <c r="J194" s="547"/>
      <c r="K194" s="547"/>
      <c r="L194" s="547"/>
      <c r="M194" s="547"/>
      <c r="N194" s="547"/>
      <c r="O194" s="547"/>
      <c r="P194" s="547"/>
      <c r="Q194" s="547"/>
      <c r="R194" s="547"/>
      <c r="S194" s="547"/>
      <c r="T194" s="547"/>
      <c r="U194" s="547"/>
      <c r="V194" s="547"/>
      <c r="W194" s="547"/>
      <c r="X194" s="547"/>
      <c r="Y194" s="547"/>
      <c r="Z194" s="547"/>
      <c r="AB194" s="547"/>
      <c r="AC194" s="547"/>
      <c r="AD194" s="547"/>
      <c r="AE194" s="547"/>
      <c r="AF194" s="547"/>
      <c r="AG194" s="547"/>
      <c r="AH194" s="547"/>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7"/>
      <c r="BW194" s="547"/>
      <c r="BX194" s="547"/>
      <c r="BY194" s="547"/>
      <c r="BZ194" s="547"/>
      <c r="CA194" s="547"/>
      <c r="CB194" s="547"/>
      <c r="CC194" s="547"/>
    </row>
    <row r="195" spans="1:81">
      <c r="A195" s="547"/>
      <c r="B195" s="547"/>
      <c r="C195" s="547"/>
      <c r="D195" s="547"/>
      <c r="E195" s="547"/>
      <c r="F195" s="547"/>
      <c r="G195" s="547"/>
      <c r="H195" s="547"/>
      <c r="I195" s="547"/>
      <c r="J195" s="547"/>
      <c r="K195" s="547"/>
      <c r="L195" s="547"/>
      <c r="M195" s="547"/>
      <c r="N195" s="547"/>
      <c r="O195" s="547"/>
      <c r="P195" s="547"/>
      <c r="Q195" s="547"/>
      <c r="R195" s="547"/>
      <c r="S195" s="547"/>
      <c r="T195" s="547"/>
      <c r="U195" s="547"/>
      <c r="V195" s="547"/>
      <c r="W195" s="547"/>
      <c r="X195" s="547"/>
      <c r="Y195" s="547"/>
      <c r="Z195" s="547"/>
      <c r="AB195" s="547"/>
      <c r="AC195" s="547"/>
      <c r="AD195" s="547"/>
      <c r="AE195" s="547"/>
      <c r="AF195" s="547"/>
      <c r="AG195" s="547"/>
      <c r="AH195" s="547"/>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7"/>
      <c r="BW195" s="547"/>
      <c r="BX195" s="547"/>
      <c r="BY195" s="547"/>
      <c r="BZ195" s="547"/>
      <c r="CA195" s="547"/>
      <c r="CB195" s="547"/>
      <c r="CC195" s="547"/>
    </row>
    <row r="196" spans="1:81">
      <c r="A196" s="547"/>
      <c r="B196" s="547"/>
      <c r="C196" s="547"/>
      <c r="D196" s="547"/>
      <c r="E196" s="547"/>
      <c r="F196" s="547"/>
      <c r="G196" s="547"/>
      <c r="H196" s="547"/>
      <c r="I196" s="547"/>
      <c r="J196" s="547"/>
      <c r="K196" s="547"/>
      <c r="L196" s="547"/>
      <c r="M196" s="547"/>
      <c r="N196" s="547"/>
      <c r="O196" s="547"/>
      <c r="P196" s="547"/>
      <c r="Q196" s="547"/>
      <c r="R196" s="547"/>
      <c r="S196" s="547"/>
      <c r="T196" s="547"/>
      <c r="U196" s="547"/>
      <c r="V196" s="547"/>
      <c r="W196" s="547"/>
      <c r="X196" s="547"/>
      <c r="Y196" s="547"/>
      <c r="Z196" s="547"/>
      <c r="AB196" s="547"/>
      <c r="AC196" s="547"/>
      <c r="AD196" s="547"/>
      <c r="AE196" s="547"/>
      <c r="AF196" s="547"/>
      <c r="AG196" s="547"/>
      <c r="AH196" s="547"/>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7"/>
      <c r="BW196" s="547"/>
      <c r="BX196" s="547"/>
      <c r="BY196" s="547"/>
      <c r="BZ196" s="547"/>
      <c r="CA196" s="547"/>
      <c r="CB196" s="547"/>
      <c r="CC196" s="547"/>
    </row>
    <row r="197" spans="1:81">
      <c r="A197" s="547"/>
      <c r="B197" s="547"/>
      <c r="C197" s="547"/>
      <c r="D197" s="547"/>
      <c r="E197" s="547"/>
      <c r="F197" s="547"/>
      <c r="G197" s="547"/>
      <c r="H197" s="547"/>
      <c r="I197" s="547"/>
      <c r="J197" s="547"/>
      <c r="K197" s="547"/>
      <c r="L197" s="547"/>
      <c r="M197" s="547"/>
      <c r="N197" s="547"/>
      <c r="O197" s="547"/>
      <c r="P197" s="547"/>
      <c r="Q197" s="547"/>
      <c r="R197" s="547"/>
      <c r="S197" s="547"/>
      <c r="T197" s="547"/>
      <c r="U197" s="547"/>
      <c r="V197" s="547"/>
      <c r="W197" s="547"/>
      <c r="X197" s="547"/>
      <c r="Y197" s="547"/>
      <c r="Z197" s="547"/>
      <c r="AB197" s="547"/>
      <c r="AC197" s="547"/>
      <c r="AD197" s="547"/>
      <c r="AE197" s="547"/>
      <c r="AF197" s="547"/>
      <c r="AG197" s="547"/>
      <c r="AH197" s="547"/>
      <c r="AI197" s="547"/>
      <c r="AJ197" s="547"/>
      <c r="AK197" s="547"/>
      <c r="AL197" s="547"/>
      <c r="AM197" s="547"/>
      <c r="AN197" s="547"/>
      <c r="AO197" s="547"/>
      <c r="AP197" s="547"/>
      <c r="AQ197" s="547"/>
      <c r="AR197" s="547"/>
      <c r="AS197" s="547"/>
      <c r="AT197" s="547"/>
      <c r="AU197" s="547"/>
      <c r="AV197" s="547"/>
      <c r="AW197" s="547"/>
      <c r="AX197" s="547"/>
      <c r="AY197" s="547"/>
      <c r="AZ197" s="547"/>
      <c r="BA197" s="547"/>
      <c r="BB197" s="547"/>
      <c r="BC197" s="547"/>
      <c r="BD197" s="547"/>
      <c r="BE197" s="547"/>
      <c r="BF197" s="547"/>
      <c r="BG197" s="547"/>
      <c r="BH197" s="547"/>
      <c r="BI197" s="547"/>
      <c r="BJ197" s="547"/>
      <c r="BK197" s="547"/>
      <c r="BL197" s="547"/>
      <c r="BM197" s="547"/>
      <c r="BN197" s="547"/>
      <c r="BO197" s="547"/>
      <c r="BP197" s="547"/>
      <c r="BQ197" s="547"/>
      <c r="BR197" s="547"/>
      <c r="BS197" s="547"/>
      <c r="BT197" s="547"/>
      <c r="BU197" s="547"/>
      <c r="BV197" s="547"/>
      <c r="BW197" s="547"/>
      <c r="BX197" s="547"/>
      <c r="BY197" s="547"/>
      <c r="BZ197" s="547"/>
      <c r="CA197" s="547"/>
      <c r="CB197" s="547"/>
      <c r="CC197" s="547"/>
    </row>
    <row r="198" spans="1:81">
      <c r="A198" s="547"/>
      <c r="B198" s="547"/>
      <c r="C198" s="547"/>
      <c r="D198" s="547"/>
      <c r="E198" s="547"/>
      <c r="F198" s="547"/>
      <c r="G198" s="547"/>
      <c r="H198" s="547"/>
      <c r="I198" s="547"/>
      <c r="J198" s="547"/>
      <c r="K198" s="547"/>
      <c r="L198" s="547"/>
      <c r="M198" s="547"/>
      <c r="N198" s="547"/>
      <c r="O198" s="547"/>
      <c r="P198" s="547"/>
      <c r="Q198" s="547"/>
      <c r="R198" s="547"/>
      <c r="S198" s="547"/>
      <c r="T198" s="547"/>
      <c r="U198" s="547"/>
      <c r="V198" s="547"/>
      <c r="W198" s="547"/>
      <c r="X198" s="547"/>
      <c r="Y198" s="547"/>
      <c r="Z198" s="547"/>
      <c r="AB198" s="547"/>
      <c r="AC198" s="547"/>
      <c r="AD198" s="547"/>
      <c r="AE198" s="547"/>
      <c r="AF198" s="547"/>
      <c r="AG198" s="547"/>
      <c r="AH198" s="547"/>
      <c r="AI198" s="547"/>
      <c r="AJ198" s="547"/>
      <c r="AK198" s="547"/>
      <c r="AL198" s="547"/>
      <c r="AM198" s="547"/>
      <c r="AN198" s="547"/>
      <c r="AO198" s="547"/>
      <c r="AP198" s="547"/>
      <c r="AQ198" s="547"/>
      <c r="AR198" s="547"/>
      <c r="AS198" s="547"/>
      <c r="AT198" s="547"/>
      <c r="AU198" s="547"/>
      <c r="AV198" s="547"/>
      <c r="AW198" s="547"/>
      <c r="AX198" s="547"/>
      <c r="AY198" s="547"/>
      <c r="AZ198" s="547"/>
      <c r="BA198" s="547"/>
      <c r="BB198" s="547"/>
      <c r="BC198" s="547"/>
      <c r="BD198" s="547"/>
      <c r="BE198" s="547"/>
      <c r="BF198" s="547"/>
      <c r="BG198" s="547"/>
      <c r="BH198" s="547"/>
      <c r="BI198" s="547"/>
      <c r="BJ198" s="547"/>
      <c r="BK198" s="547"/>
      <c r="BL198" s="547"/>
      <c r="BM198" s="547"/>
      <c r="BN198" s="547"/>
      <c r="BO198" s="547"/>
      <c r="BP198" s="547"/>
      <c r="BQ198" s="547"/>
      <c r="BR198" s="547"/>
      <c r="BS198" s="547"/>
      <c r="BT198" s="547"/>
      <c r="BU198" s="547"/>
      <c r="BV198" s="547"/>
      <c r="BW198" s="547"/>
      <c r="BX198" s="547"/>
      <c r="BY198" s="547"/>
      <c r="BZ198" s="547"/>
      <c r="CA198" s="547"/>
      <c r="CB198" s="547"/>
      <c r="CC198" s="547"/>
    </row>
    <row r="199" spans="1:81">
      <c r="A199" s="547"/>
      <c r="B199" s="547"/>
      <c r="C199" s="547"/>
      <c r="D199" s="547"/>
      <c r="E199" s="547"/>
      <c r="F199" s="547"/>
      <c r="G199" s="547"/>
      <c r="H199" s="547"/>
      <c r="I199" s="547"/>
      <c r="J199" s="547"/>
      <c r="K199" s="547"/>
      <c r="L199" s="547"/>
      <c r="M199" s="547"/>
      <c r="N199" s="547"/>
      <c r="O199" s="547"/>
      <c r="P199" s="547"/>
      <c r="Q199" s="547"/>
      <c r="R199" s="547"/>
      <c r="S199" s="547"/>
      <c r="T199" s="547"/>
      <c r="U199" s="547"/>
      <c r="V199" s="547"/>
      <c r="W199" s="547"/>
      <c r="X199" s="547"/>
      <c r="Y199" s="547"/>
      <c r="Z199" s="547"/>
      <c r="AB199" s="547"/>
      <c r="AC199" s="547"/>
      <c r="AD199" s="547"/>
      <c r="AE199" s="547"/>
      <c r="AF199" s="547"/>
      <c r="AG199" s="547"/>
      <c r="AH199" s="547"/>
      <c r="AI199" s="547"/>
      <c r="AJ199" s="547"/>
      <c r="AK199" s="547"/>
      <c r="AL199" s="547"/>
      <c r="AM199" s="547"/>
      <c r="AN199" s="547"/>
      <c r="AO199" s="547"/>
      <c r="AP199" s="547"/>
      <c r="AQ199" s="547"/>
      <c r="AR199" s="547"/>
      <c r="AS199" s="547"/>
      <c r="AT199" s="547"/>
      <c r="AU199" s="547"/>
      <c r="AV199" s="547"/>
      <c r="AW199" s="547"/>
      <c r="AX199" s="547"/>
      <c r="AY199" s="547"/>
      <c r="AZ199" s="547"/>
      <c r="BA199" s="547"/>
      <c r="BB199" s="547"/>
      <c r="BC199" s="547"/>
      <c r="BD199" s="547"/>
      <c r="BE199" s="547"/>
      <c r="BF199" s="547"/>
      <c r="BG199" s="547"/>
      <c r="BH199" s="547"/>
      <c r="BI199" s="547"/>
      <c r="BJ199" s="547"/>
      <c r="BK199" s="547"/>
      <c r="BL199" s="547"/>
      <c r="BM199" s="547"/>
      <c r="BN199" s="547"/>
      <c r="BO199" s="547"/>
      <c r="BP199" s="547"/>
      <c r="BQ199" s="547"/>
      <c r="BR199" s="547"/>
      <c r="BS199" s="547"/>
      <c r="BT199" s="547"/>
      <c r="BU199" s="547"/>
      <c r="BV199" s="547"/>
      <c r="BW199" s="547"/>
      <c r="BX199" s="547"/>
      <c r="BY199" s="547"/>
      <c r="BZ199" s="547"/>
      <c r="CA199" s="547"/>
      <c r="CB199" s="547"/>
      <c r="CC199" s="547"/>
    </row>
    <row r="200" spans="1:81">
      <c r="A200" s="547"/>
      <c r="B200" s="547"/>
      <c r="C200" s="547"/>
      <c r="D200" s="547"/>
      <c r="E200" s="547"/>
      <c r="F200" s="547"/>
      <c r="G200" s="547"/>
      <c r="H200" s="547"/>
      <c r="I200" s="547"/>
      <c r="J200" s="547"/>
      <c r="K200" s="547"/>
      <c r="L200" s="547"/>
      <c r="M200" s="547"/>
      <c r="N200" s="547"/>
      <c r="O200" s="547"/>
      <c r="P200" s="547"/>
      <c r="Q200" s="547"/>
      <c r="R200" s="547"/>
      <c r="S200" s="547"/>
      <c r="T200" s="547"/>
      <c r="U200" s="547"/>
      <c r="V200" s="547"/>
      <c r="W200" s="547"/>
      <c r="X200" s="547"/>
      <c r="Y200" s="547"/>
      <c r="Z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c r="AY200" s="547"/>
      <c r="AZ200" s="547"/>
      <c r="BA200" s="547"/>
      <c r="BB200" s="547"/>
      <c r="BC200" s="547"/>
      <c r="BD200" s="547"/>
      <c r="BE200" s="547"/>
      <c r="BF200" s="547"/>
      <c r="BG200" s="547"/>
      <c r="BH200" s="547"/>
      <c r="BI200" s="547"/>
      <c r="BJ200" s="547"/>
      <c r="BK200" s="547"/>
      <c r="BL200" s="547"/>
      <c r="BM200" s="547"/>
      <c r="BN200" s="547"/>
      <c r="BO200" s="547"/>
      <c r="BP200" s="547"/>
      <c r="BQ200" s="547"/>
      <c r="BR200" s="547"/>
      <c r="BS200" s="547"/>
      <c r="BT200" s="547"/>
      <c r="BU200" s="547"/>
      <c r="BV200" s="547"/>
      <c r="BW200" s="547"/>
      <c r="BX200" s="547"/>
      <c r="BY200" s="547"/>
      <c r="BZ200" s="547"/>
      <c r="CA200" s="547"/>
      <c r="CB200" s="547"/>
      <c r="CC200" s="547"/>
    </row>
    <row r="201" spans="1:81">
      <c r="A201" s="547"/>
      <c r="B201" s="547"/>
      <c r="C201" s="547"/>
      <c r="D201" s="547"/>
      <c r="E201" s="547"/>
      <c r="F201" s="547"/>
      <c r="G201" s="547"/>
      <c r="H201" s="547"/>
      <c r="I201" s="547"/>
      <c r="J201" s="547"/>
      <c r="K201" s="547"/>
      <c r="L201" s="547"/>
      <c r="M201" s="547"/>
      <c r="N201" s="547"/>
      <c r="O201" s="547"/>
      <c r="P201" s="547"/>
      <c r="Q201" s="547"/>
      <c r="R201" s="547"/>
      <c r="S201" s="547"/>
      <c r="T201" s="547"/>
      <c r="U201" s="547"/>
      <c r="V201" s="547"/>
      <c r="W201" s="547"/>
      <c r="X201" s="547"/>
      <c r="Y201" s="547"/>
      <c r="Z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7"/>
      <c r="BB201" s="547"/>
      <c r="BC201" s="547"/>
      <c r="BD201" s="547"/>
      <c r="BE201" s="547"/>
      <c r="BF201" s="547"/>
      <c r="BG201" s="547"/>
      <c r="BH201" s="547"/>
      <c r="BI201" s="547"/>
      <c r="BJ201" s="547"/>
      <c r="BK201" s="547"/>
      <c r="BL201" s="547"/>
      <c r="BM201" s="547"/>
      <c r="BN201" s="547"/>
      <c r="BO201" s="547"/>
      <c r="BP201" s="547"/>
      <c r="BQ201" s="547"/>
      <c r="BR201" s="547"/>
      <c r="BS201" s="547"/>
      <c r="BT201" s="547"/>
      <c r="BU201" s="547"/>
      <c r="BV201" s="547"/>
      <c r="BW201" s="547"/>
      <c r="BX201" s="547"/>
      <c r="BY201" s="547"/>
      <c r="BZ201" s="547"/>
      <c r="CA201" s="547"/>
      <c r="CB201" s="547"/>
      <c r="CC201" s="547"/>
    </row>
    <row r="202" spans="1:81">
      <c r="A202" s="547"/>
      <c r="B202" s="547"/>
      <c r="C202" s="547"/>
      <c r="D202" s="547"/>
      <c r="E202" s="547"/>
      <c r="F202" s="547"/>
      <c r="G202" s="547"/>
      <c r="H202" s="547"/>
      <c r="I202" s="547"/>
      <c r="J202" s="547"/>
      <c r="K202" s="547"/>
      <c r="L202" s="547"/>
      <c r="M202" s="547"/>
      <c r="N202" s="547"/>
      <c r="O202" s="547"/>
      <c r="P202" s="547"/>
      <c r="Q202" s="547"/>
      <c r="R202" s="547"/>
      <c r="S202" s="547"/>
      <c r="T202" s="547"/>
      <c r="U202" s="547"/>
      <c r="V202" s="547"/>
      <c r="W202" s="547"/>
      <c r="X202" s="547"/>
      <c r="Y202" s="547"/>
      <c r="Z202" s="547"/>
      <c r="AB202" s="547"/>
      <c r="AC202" s="547"/>
      <c r="AD202" s="547"/>
      <c r="AE202" s="547"/>
      <c r="AF202" s="547"/>
      <c r="AG202" s="547"/>
      <c r="AH202" s="547"/>
      <c r="AI202" s="547"/>
      <c r="AJ202" s="547"/>
      <c r="AK202" s="547"/>
      <c r="AL202" s="547"/>
      <c r="AM202" s="547"/>
      <c r="AN202" s="547"/>
      <c r="AO202" s="547"/>
      <c r="AP202" s="547"/>
      <c r="AQ202" s="547"/>
      <c r="AR202" s="547"/>
      <c r="AS202" s="547"/>
      <c r="AT202" s="547"/>
      <c r="AU202" s="547"/>
      <c r="AV202" s="547"/>
      <c r="AW202" s="547"/>
      <c r="AX202" s="547"/>
      <c r="AY202" s="547"/>
      <c r="AZ202" s="547"/>
      <c r="BA202" s="547"/>
      <c r="BB202" s="547"/>
      <c r="BC202" s="547"/>
      <c r="BD202" s="547"/>
      <c r="BE202" s="547"/>
      <c r="BF202" s="547"/>
      <c r="BG202" s="547"/>
      <c r="BH202" s="547"/>
      <c r="BI202" s="547"/>
      <c r="BJ202" s="547"/>
      <c r="BK202" s="547"/>
      <c r="BL202" s="547"/>
      <c r="BM202" s="547"/>
      <c r="BN202" s="547"/>
      <c r="BO202" s="547"/>
      <c r="BP202" s="547"/>
      <c r="BQ202" s="547"/>
      <c r="BR202" s="547"/>
      <c r="BS202" s="547"/>
      <c r="BT202" s="547"/>
      <c r="BU202" s="547"/>
      <c r="BV202" s="547"/>
      <c r="BW202" s="547"/>
      <c r="BX202" s="547"/>
      <c r="BY202" s="547"/>
      <c r="BZ202" s="547"/>
      <c r="CA202" s="547"/>
      <c r="CB202" s="547"/>
      <c r="CC202" s="547"/>
    </row>
    <row r="203" spans="1:81">
      <c r="A203" s="547"/>
      <c r="B203" s="547"/>
      <c r="C203" s="547"/>
      <c r="D203" s="547"/>
      <c r="E203" s="547"/>
      <c r="F203" s="547"/>
      <c r="G203" s="547"/>
      <c r="H203" s="547"/>
      <c r="I203" s="547"/>
      <c r="J203" s="547"/>
      <c r="K203" s="547"/>
      <c r="L203" s="547"/>
      <c r="M203" s="547"/>
      <c r="N203" s="547"/>
      <c r="O203" s="547"/>
      <c r="P203" s="547"/>
      <c r="Q203" s="547"/>
      <c r="R203" s="547"/>
      <c r="S203" s="547"/>
      <c r="T203" s="547"/>
      <c r="U203" s="547"/>
      <c r="V203" s="547"/>
      <c r="W203" s="547"/>
      <c r="X203" s="547"/>
      <c r="Y203" s="547"/>
      <c r="Z203" s="547"/>
      <c r="AB203" s="547"/>
      <c r="AC203" s="547"/>
      <c r="AD203" s="547"/>
      <c r="AE203" s="547"/>
      <c r="AF203" s="547"/>
      <c r="AG203" s="547"/>
      <c r="AH203" s="547"/>
      <c r="AI203" s="547"/>
      <c r="AJ203" s="547"/>
      <c r="AK203" s="547"/>
      <c r="AL203" s="547"/>
      <c r="AM203" s="547"/>
      <c r="AN203" s="547"/>
      <c r="AO203" s="547"/>
      <c r="AP203" s="547"/>
      <c r="AQ203" s="547"/>
      <c r="AR203" s="547"/>
      <c r="AS203" s="547"/>
      <c r="AT203" s="547"/>
      <c r="AU203" s="547"/>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7"/>
      <c r="BW203" s="547"/>
      <c r="BX203" s="547"/>
      <c r="BY203" s="547"/>
      <c r="BZ203" s="547"/>
      <c r="CA203" s="547"/>
      <c r="CB203" s="547"/>
      <c r="CC203" s="547"/>
    </row>
    <row r="204" spans="1:81">
      <c r="A204" s="547"/>
      <c r="B204" s="547"/>
      <c r="C204" s="547"/>
      <c r="D204" s="547"/>
      <c r="E204" s="547"/>
      <c r="F204" s="547"/>
      <c r="G204" s="547"/>
      <c r="H204" s="547"/>
      <c r="I204" s="547"/>
      <c r="J204" s="547"/>
      <c r="K204" s="547"/>
      <c r="L204" s="547"/>
      <c r="M204" s="547"/>
      <c r="N204" s="547"/>
      <c r="O204" s="547"/>
      <c r="P204" s="547"/>
      <c r="Q204" s="547"/>
      <c r="R204" s="547"/>
      <c r="S204" s="547"/>
      <c r="T204" s="547"/>
      <c r="U204" s="547"/>
      <c r="V204" s="547"/>
      <c r="W204" s="547"/>
      <c r="X204" s="547"/>
      <c r="Y204" s="547"/>
      <c r="Z204" s="547"/>
      <c r="AB204" s="547"/>
      <c r="AC204" s="547"/>
      <c r="AD204" s="547"/>
      <c r="AE204" s="547"/>
      <c r="AF204" s="547"/>
      <c r="AG204" s="547"/>
      <c r="AH204" s="547"/>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row>
    <row r="205" spans="1:81">
      <c r="A205" s="547"/>
      <c r="B205" s="547"/>
      <c r="C205" s="547"/>
      <c r="D205" s="547"/>
      <c r="E205" s="547"/>
      <c r="F205" s="547"/>
      <c r="G205" s="547"/>
      <c r="H205" s="547"/>
      <c r="I205" s="547"/>
      <c r="J205" s="547"/>
      <c r="K205" s="547"/>
      <c r="L205" s="547"/>
      <c r="M205" s="547"/>
      <c r="N205" s="547"/>
      <c r="O205" s="547"/>
      <c r="P205" s="547"/>
      <c r="Q205" s="547"/>
      <c r="R205" s="547"/>
      <c r="S205" s="547"/>
      <c r="T205" s="547"/>
      <c r="U205" s="547"/>
      <c r="V205" s="547"/>
      <c r="W205" s="547"/>
      <c r="X205" s="547"/>
      <c r="Y205" s="547"/>
      <c r="Z205" s="547"/>
      <c r="AB205" s="547"/>
      <c r="AC205" s="547"/>
      <c r="AD205" s="547"/>
      <c r="AE205" s="547"/>
      <c r="AF205" s="547"/>
      <c r="AG205" s="547"/>
      <c r="AH205" s="547"/>
      <c r="AI205" s="547"/>
      <c r="AJ205" s="547"/>
      <c r="AK205" s="547"/>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row>
    <row r="206" spans="1:81">
      <c r="A206" s="547"/>
      <c r="B206" s="547"/>
      <c r="C206" s="547"/>
      <c r="D206" s="547"/>
      <c r="E206" s="547"/>
      <c r="F206" s="547"/>
      <c r="G206" s="547"/>
      <c r="H206" s="547"/>
      <c r="I206" s="547"/>
      <c r="J206" s="547"/>
      <c r="K206" s="547"/>
      <c r="L206" s="547"/>
      <c r="M206" s="547"/>
      <c r="N206" s="547"/>
      <c r="O206" s="547"/>
      <c r="P206" s="547"/>
      <c r="Q206" s="547"/>
      <c r="R206" s="547"/>
      <c r="S206" s="547"/>
      <c r="T206" s="547"/>
      <c r="U206" s="547"/>
      <c r="V206" s="547"/>
      <c r="W206" s="547"/>
      <c r="X206" s="547"/>
      <c r="Y206" s="547"/>
      <c r="Z206" s="547"/>
      <c r="AB206" s="547"/>
      <c r="AC206" s="547"/>
      <c r="AD206" s="547"/>
      <c r="AE206" s="547"/>
      <c r="AF206" s="547"/>
      <c r="AG206" s="547"/>
      <c r="AH206" s="547"/>
      <c r="AI206" s="547"/>
      <c r="AJ206" s="547"/>
      <c r="AK206" s="547"/>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row>
    <row r="207" spans="1:81">
      <c r="A207" s="547"/>
      <c r="B207" s="547"/>
      <c r="C207" s="547"/>
      <c r="D207" s="547"/>
      <c r="E207" s="547"/>
      <c r="F207" s="547"/>
      <c r="G207" s="547"/>
      <c r="H207" s="547"/>
      <c r="I207" s="547"/>
      <c r="J207" s="547"/>
      <c r="K207" s="547"/>
      <c r="L207" s="547"/>
      <c r="M207" s="547"/>
      <c r="N207" s="547"/>
      <c r="O207" s="547"/>
      <c r="P207" s="547"/>
      <c r="Q207" s="547"/>
      <c r="R207" s="547"/>
      <c r="S207" s="547"/>
      <c r="T207" s="547"/>
      <c r="U207" s="547"/>
      <c r="V207" s="547"/>
      <c r="W207" s="547"/>
      <c r="X207" s="547"/>
      <c r="Y207" s="547"/>
      <c r="Z207" s="547"/>
      <c r="AB207" s="547"/>
      <c r="AC207" s="547"/>
      <c r="AD207" s="547"/>
      <c r="AE207" s="547"/>
      <c r="AF207" s="547"/>
      <c r="AG207" s="547"/>
      <c r="AH207" s="547"/>
      <c r="AI207" s="547"/>
      <c r="AJ207" s="547"/>
      <c r="AK207" s="547"/>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row>
    <row r="208" spans="1:81">
      <c r="A208" s="547"/>
      <c r="B208" s="547"/>
      <c r="C208" s="547"/>
      <c r="D208" s="547"/>
      <c r="E208" s="547"/>
      <c r="F208" s="547"/>
      <c r="G208" s="547"/>
      <c r="H208" s="547"/>
      <c r="I208" s="547"/>
      <c r="J208" s="547"/>
      <c r="K208" s="547"/>
      <c r="L208" s="547"/>
      <c r="M208" s="547"/>
      <c r="N208" s="547"/>
      <c r="O208" s="547"/>
      <c r="P208" s="547"/>
      <c r="Q208" s="547"/>
      <c r="R208" s="547"/>
      <c r="S208" s="547"/>
      <c r="T208" s="547"/>
      <c r="U208" s="547"/>
      <c r="V208" s="547"/>
      <c r="W208" s="547"/>
      <c r="X208" s="547"/>
      <c r="Y208" s="547"/>
      <c r="Z208" s="547"/>
      <c r="AB208" s="547"/>
      <c r="AC208" s="547"/>
      <c r="AD208" s="547"/>
      <c r="AE208" s="547"/>
      <c r="AF208" s="547"/>
      <c r="AG208" s="547"/>
      <c r="AH208" s="547"/>
      <c r="AI208" s="547"/>
      <c r="AJ208" s="547"/>
      <c r="AK208" s="547"/>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row>
    <row r="209" spans="1:81">
      <c r="A209" s="547"/>
      <c r="B209" s="547"/>
      <c r="C209" s="547"/>
      <c r="D209" s="547"/>
      <c r="E209" s="547"/>
      <c r="F209" s="547"/>
      <c r="G209" s="547"/>
      <c r="H209" s="547"/>
      <c r="I209" s="547"/>
      <c r="J209" s="547"/>
      <c r="K209" s="547"/>
      <c r="L209" s="547"/>
      <c r="M209" s="547"/>
      <c r="N209" s="547"/>
      <c r="O209" s="547"/>
      <c r="P209" s="547"/>
      <c r="Q209" s="547"/>
      <c r="R209" s="547"/>
      <c r="S209" s="547"/>
      <c r="T209" s="547"/>
      <c r="U209" s="547"/>
      <c r="V209" s="547"/>
      <c r="W209" s="547"/>
      <c r="X209" s="547"/>
      <c r="Y209" s="547"/>
      <c r="Z209" s="547"/>
      <c r="AA209" s="547"/>
      <c r="AB209" s="547"/>
      <c r="AC209" s="547"/>
      <c r="AD209" s="547"/>
      <c r="AE209" s="547"/>
      <c r="AF209" s="547"/>
      <c r="AG209" s="547"/>
      <c r="AH209" s="547"/>
      <c r="AI209" s="547"/>
      <c r="AJ209" s="547"/>
      <c r="AK209" s="547"/>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row>
    <row r="210" spans="1:81">
      <c r="A210" s="547"/>
      <c r="B210" s="547"/>
      <c r="C210" s="547"/>
      <c r="D210" s="547"/>
      <c r="E210" s="547"/>
      <c r="F210" s="547"/>
      <c r="G210" s="547"/>
      <c r="H210" s="547"/>
      <c r="I210" s="547"/>
      <c r="J210" s="547"/>
      <c r="K210" s="547"/>
      <c r="L210" s="547"/>
      <c r="M210" s="547"/>
      <c r="N210" s="547"/>
      <c r="O210" s="547"/>
      <c r="P210" s="547"/>
      <c r="Q210" s="547"/>
      <c r="R210" s="547"/>
      <c r="S210" s="547"/>
      <c r="T210" s="547"/>
      <c r="U210" s="547"/>
      <c r="V210" s="547"/>
      <c r="W210" s="547"/>
      <c r="X210" s="547"/>
      <c r="Y210" s="547"/>
      <c r="Z210" s="547"/>
      <c r="AA210" s="547"/>
      <c r="AB210" s="547"/>
      <c r="AC210" s="547"/>
      <c r="AD210" s="547"/>
      <c r="AE210" s="547"/>
      <c r="AF210" s="547"/>
      <c r="AG210" s="547"/>
      <c r="AH210" s="547"/>
      <c r="AI210" s="547"/>
      <c r="AJ210" s="547"/>
      <c r="AK210" s="547"/>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row>
    <row r="211" spans="1:81">
      <c r="A211" s="547"/>
      <c r="B211" s="547"/>
      <c r="C211" s="547"/>
      <c r="D211" s="547"/>
      <c r="E211" s="547"/>
      <c r="F211" s="547"/>
      <c r="G211" s="547"/>
      <c r="H211" s="547"/>
      <c r="I211" s="547"/>
      <c r="J211" s="547"/>
      <c r="K211" s="547"/>
      <c r="L211" s="547"/>
      <c r="M211" s="547"/>
      <c r="N211" s="547"/>
      <c r="O211" s="547"/>
      <c r="P211" s="547"/>
      <c r="Q211" s="547"/>
      <c r="R211" s="547"/>
      <c r="S211" s="547"/>
      <c r="T211" s="547"/>
      <c r="U211" s="547"/>
      <c r="V211" s="547"/>
      <c r="W211" s="547"/>
      <c r="X211" s="547"/>
      <c r="Y211" s="547"/>
      <c r="Z211" s="547"/>
      <c r="AA211" s="547"/>
      <c r="AB211" s="547"/>
      <c r="AC211" s="547"/>
      <c r="AD211" s="547"/>
      <c r="AE211" s="547"/>
      <c r="AF211" s="547"/>
      <c r="AG211" s="547"/>
      <c r="AH211" s="547"/>
      <c r="AI211" s="547"/>
      <c r="AJ211" s="547"/>
      <c r="AK211" s="547"/>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row>
    <row r="212" spans="1:81">
      <c r="A212" s="547"/>
      <c r="B212" s="547"/>
      <c r="C212" s="547"/>
      <c r="D212" s="547"/>
      <c r="E212" s="547"/>
      <c r="F212" s="547"/>
      <c r="G212" s="547"/>
      <c r="H212" s="547"/>
      <c r="I212" s="547"/>
      <c r="J212" s="547"/>
      <c r="K212" s="547"/>
      <c r="L212" s="547"/>
      <c r="M212" s="547"/>
      <c r="N212" s="547"/>
      <c r="O212" s="547"/>
      <c r="P212" s="547"/>
      <c r="Q212" s="547"/>
      <c r="R212" s="547"/>
      <c r="S212" s="547"/>
      <c r="T212" s="547"/>
      <c r="U212" s="547"/>
      <c r="V212" s="547"/>
      <c r="W212" s="547"/>
      <c r="X212" s="547"/>
      <c r="Y212" s="547"/>
      <c r="Z212" s="547"/>
      <c r="AA212" s="547"/>
      <c r="AB212" s="547"/>
      <c r="AC212" s="547"/>
      <c r="AD212" s="547"/>
      <c r="AE212" s="547"/>
      <c r="AF212" s="547"/>
      <c r="AG212" s="547"/>
      <c r="AH212" s="547"/>
      <c r="AI212" s="547"/>
      <c r="AJ212" s="547"/>
      <c r="AK212" s="547"/>
      <c r="AL212" s="547"/>
      <c r="AM212" s="547"/>
      <c r="AN212" s="547"/>
      <c r="AO212" s="547"/>
      <c r="AP212" s="547"/>
      <c r="AQ212" s="547"/>
      <c r="AR212" s="547"/>
      <c r="AS212" s="547"/>
      <c r="AT212" s="547"/>
      <c r="AU212" s="547"/>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7"/>
      <c r="BW212" s="547"/>
      <c r="BX212" s="547"/>
      <c r="BY212" s="547"/>
      <c r="BZ212" s="547"/>
      <c r="CA212" s="547"/>
      <c r="CB212" s="547"/>
      <c r="CC212" s="547"/>
    </row>
    <row r="213" spans="1:81">
      <c r="A213" s="547"/>
      <c r="B213" s="547"/>
      <c r="C213" s="547"/>
      <c r="D213" s="547"/>
      <c r="E213" s="547"/>
      <c r="F213" s="547"/>
      <c r="G213" s="547"/>
      <c r="H213" s="547"/>
      <c r="I213" s="547"/>
      <c r="J213" s="547"/>
      <c r="K213" s="547"/>
      <c r="L213" s="547"/>
      <c r="M213" s="547"/>
      <c r="N213" s="547"/>
      <c r="O213" s="547"/>
      <c r="P213" s="547"/>
      <c r="Q213" s="547"/>
      <c r="R213" s="547"/>
      <c r="S213" s="547"/>
      <c r="T213" s="547"/>
      <c r="U213" s="547"/>
      <c r="V213" s="547"/>
      <c r="W213" s="547"/>
      <c r="X213" s="547"/>
      <c r="Y213" s="547"/>
      <c r="Z213" s="547"/>
      <c r="AA213" s="547"/>
      <c r="AB213" s="547"/>
      <c r="AC213" s="547"/>
      <c r="AD213" s="547"/>
      <c r="AE213" s="547"/>
      <c r="AF213" s="547"/>
      <c r="AG213" s="547"/>
      <c r="AH213" s="547"/>
      <c r="AI213" s="547"/>
      <c r="AJ213" s="547"/>
      <c r="AK213" s="547"/>
      <c r="AL213" s="547"/>
      <c r="AM213" s="547"/>
      <c r="AN213" s="547"/>
      <c r="AO213" s="547"/>
      <c r="AP213" s="547"/>
      <c r="AQ213" s="547"/>
      <c r="AR213" s="547"/>
      <c r="AS213" s="547"/>
      <c r="AT213" s="547"/>
      <c r="AU213" s="547"/>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7"/>
      <c r="BW213" s="547"/>
      <c r="BX213" s="547"/>
      <c r="BY213" s="547"/>
      <c r="BZ213" s="547"/>
      <c r="CA213" s="547"/>
      <c r="CB213" s="547"/>
      <c r="CC213" s="547"/>
    </row>
    <row r="214" spans="1:81">
      <c r="A214" s="547"/>
      <c r="B214" s="547"/>
      <c r="C214" s="547"/>
      <c r="D214" s="547"/>
      <c r="E214" s="547"/>
      <c r="F214" s="547"/>
      <c r="G214" s="547"/>
      <c r="H214" s="547"/>
      <c r="I214" s="547"/>
      <c r="J214" s="547"/>
      <c r="K214" s="547"/>
      <c r="L214" s="547"/>
      <c r="M214" s="547"/>
      <c r="N214" s="547"/>
      <c r="O214" s="547"/>
      <c r="P214" s="547"/>
      <c r="Q214" s="547"/>
      <c r="R214" s="547"/>
      <c r="S214" s="547"/>
      <c r="T214" s="547"/>
      <c r="U214" s="547"/>
      <c r="V214" s="547"/>
      <c r="W214" s="547"/>
      <c r="X214" s="547"/>
      <c r="Y214" s="547"/>
      <c r="Z214" s="547"/>
      <c r="AA214" s="547"/>
      <c r="AB214" s="547"/>
      <c r="AC214" s="547"/>
      <c r="AD214" s="547"/>
      <c r="AE214" s="547"/>
      <c r="AF214" s="547"/>
      <c r="AG214" s="547"/>
      <c r="AH214" s="547"/>
      <c r="AI214" s="547"/>
      <c r="AJ214" s="547"/>
      <c r="AK214" s="547"/>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row>
    <row r="215" spans="1:81">
      <c r="A215" s="547"/>
      <c r="B215" s="547"/>
      <c r="C215" s="547"/>
      <c r="D215" s="547"/>
      <c r="E215" s="547"/>
      <c r="F215" s="547"/>
      <c r="G215" s="547"/>
      <c r="H215" s="547"/>
      <c r="I215" s="547"/>
      <c r="J215" s="547"/>
      <c r="K215" s="547"/>
      <c r="L215" s="547"/>
      <c r="M215" s="547"/>
      <c r="N215" s="547"/>
      <c r="O215" s="547"/>
      <c r="P215" s="547"/>
      <c r="Q215" s="547"/>
      <c r="R215" s="547"/>
      <c r="S215" s="547"/>
      <c r="T215" s="547"/>
      <c r="U215" s="547"/>
      <c r="V215" s="547"/>
      <c r="W215" s="547"/>
      <c r="X215" s="547"/>
      <c r="Y215" s="547"/>
      <c r="Z215" s="547"/>
      <c r="AA215" s="547"/>
      <c r="AB215" s="547"/>
      <c r="AC215" s="547"/>
      <c r="AD215" s="547"/>
      <c r="AE215" s="547"/>
      <c r="AF215" s="547"/>
      <c r="AG215" s="547"/>
      <c r="AH215" s="547"/>
      <c r="AI215" s="547"/>
      <c r="AJ215" s="547"/>
      <c r="AK215" s="547"/>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row>
    <row r="216" spans="1:81">
      <c r="A216" s="547"/>
      <c r="B216" s="547"/>
      <c r="C216" s="547"/>
      <c r="D216" s="547"/>
      <c r="E216" s="547"/>
      <c r="F216" s="547"/>
      <c r="G216" s="547"/>
      <c r="H216" s="547"/>
      <c r="I216" s="547"/>
      <c r="J216" s="547"/>
      <c r="K216" s="547"/>
      <c r="L216" s="547"/>
      <c r="M216" s="547"/>
      <c r="N216" s="547"/>
      <c r="O216" s="547"/>
      <c r="P216" s="547"/>
      <c r="Q216" s="547"/>
      <c r="R216" s="547"/>
      <c r="S216" s="547"/>
      <c r="T216" s="547"/>
      <c r="U216" s="547"/>
      <c r="V216" s="547"/>
      <c r="W216" s="547"/>
      <c r="X216" s="547"/>
      <c r="Y216" s="547"/>
      <c r="Z216" s="547"/>
      <c r="AA216" s="547"/>
      <c r="AB216" s="547"/>
      <c r="AC216" s="547"/>
      <c r="AD216" s="547"/>
      <c r="AE216" s="547"/>
      <c r="AF216" s="547"/>
      <c r="AG216" s="547"/>
      <c r="AH216" s="547"/>
      <c r="AI216" s="547"/>
      <c r="AJ216" s="547"/>
      <c r="AK216" s="547"/>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row>
    <row r="217" spans="1:81">
      <c r="A217" s="547"/>
      <c r="B217" s="547"/>
      <c r="C217" s="547"/>
      <c r="D217" s="547"/>
      <c r="E217" s="547"/>
      <c r="F217" s="547"/>
      <c r="G217" s="547"/>
      <c r="H217" s="547"/>
      <c r="I217" s="547"/>
      <c r="J217" s="547"/>
      <c r="K217" s="547"/>
      <c r="L217" s="547"/>
      <c r="M217" s="547"/>
      <c r="N217" s="547"/>
      <c r="O217" s="547"/>
      <c r="P217" s="547"/>
      <c r="Q217" s="547"/>
      <c r="R217" s="547"/>
      <c r="S217" s="547"/>
      <c r="T217" s="547"/>
      <c r="U217" s="547"/>
      <c r="V217" s="547"/>
      <c r="W217" s="547"/>
      <c r="X217" s="547"/>
      <c r="Y217" s="547"/>
      <c r="Z217" s="547"/>
      <c r="AA217" s="547"/>
      <c r="AB217" s="547"/>
      <c r="AC217" s="547"/>
      <c r="AD217" s="547"/>
      <c r="AE217" s="547"/>
      <c r="AF217" s="547"/>
      <c r="AG217" s="547"/>
      <c r="AH217" s="547"/>
      <c r="AI217" s="547"/>
      <c r="AJ217" s="547"/>
      <c r="AK217" s="547"/>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row>
    <row r="218" spans="1:81">
      <c r="A218" s="547"/>
      <c r="B218" s="547"/>
      <c r="C218" s="547"/>
      <c r="D218" s="547"/>
      <c r="E218" s="547"/>
      <c r="F218" s="547"/>
      <c r="G218" s="547"/>
      <c r="H218" s="547"/>
      <c r="I218" s="547"/>
      <c r="J218" s="547"/>
      <c r="K218" s="547"/>
      <c r="L218" s="547"/>
      <c r="M218" s="547"/>
      <c r="N218" s="547"/>
      <c r="O218" s="547"/>
      <c r="P218" s="547"/>
      <c r="Q218" s="547"/>
      <c r="R218" s="547"/>
      <c r="S218" s="547"/>
      <c r="T218" s="547"/>
      <c r="U218" s="547"/>
      <c r="V218" s="547"/>
      <c r="W218" s="547"/>
      <c r="X218" s="547"/>
      <c r="Y218" s="547"/>
      <c r="Z218" s="547"/>
      <c r="AA218" s="547"/>
      <c r="AB218" s="547"/>
      <c r="AC218" s="547"/>
      <c r="AD218" s="547"/>
      <c r="AE218" s="547"/>
      <c r="AF218" s="547"/>
      <c r="AG218" s="547"/>
      <c r="AH218" s="547"/>
      <c r="AI218" s="547"/>
      <c r="AJ218" s="547"/>
      <c r="AK218" s="547"/>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row>
    <row r="219" spans="1:81">
      <c r="A219" s="547"/>
      <c r="B219" s="547"/>
      <c r="C219" s="547"/>
      <c r="D219" s="547"/>
      <c r="E219" s="547"/>
      <c r="F219" s="547"/>
      <c r="G219" s="547"/>
      <c r="H219" s="547"/>
      <c r="I219" s="547"/>
      <c r="J219" s="547"/>
      <c r="K219" s="547"/>
      <c r="L219" s="547"/>
      <c r="M219" s="547"/>
      <c r="N219" s="547"/>
      <c r="O219" s="547"/>
      <c r="P219" s="547"/>
      <c r="Q219" s="547"/>
      <c r="R219" s="547"/>
      <c r="S219" s="547"/>
      <c r="T219" s="547"/>
      <c r="U219" s="547"/>
      <c r="V219" s="547"/>
      <c r="W219" s="547"/>
      <c r="X219" s="547"/>
      <c r="Y219" s="547"/>
      <c r="Z219" s="547"/>
      <c r="AA219" s="547"/>
      <c r="AB219" s="547"/>
      <c r="AC219" s="547"/>
      <c r="AD219" s="547"/>
      <c r="AE219" s="547"/>
      <c r="AF219" s="547"/>
      <c r="AG219" s="547"/>
      <c r="AH219" s="547"/>
      <c r="AI219" s="547"/>
      <c r="AJ219" s="547"/>
      <c r="AK219" s="547"/>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row>
    <row r="220" spans="1:81">
      <c r="A220" s="547"/>
      <c r="B220" s="547"/>
      <c r="C220" s="547"/>
      <c r="D220" s="547"/>
      <c r="E220" s="547"/>
      <c r="F220" s="547"/>
      <c r="G220" s="547"/>
      <c r="H220" s="547"/>
      <c r="I220" s="547"/>
      <c r="J220" s="547"/>
      <c r="K220" s="547"/>
      <c r="L220" s="547"/>
      <c r="M220" s="547"/>
      <c r="N220" s="547"/>
      <c r="O220" s="547"/>
      <c r="P220" s="547"/>
      <c r="Q220" s="547"/>
      <c r="R220" s="547"/>
      <c r="S220" s="547"/>
      <c r="T220" s="547"/>
      <c r="U220" s="547"/>
      <c r="V220" s="547"/>
      <c r="W220" s="547"/>
      <c r="X220" s="547"/>
      <c r="Y220" s="547"/>
      <c r="Z220" s="547"/>
      <c r="AA220" s="547"/>
      <c r="AB220" s="547"/>
      <c r="AC220" s="547"/>
      <c r="AD220" s="547"/>
      <c r="AE220" s="547"/>
      <c r="AF220" s="547"/>
      <c r="AG220" s="547"/>
      <c r="AH220" s="547"/>
      <c r="AI220" s="547"/>
      <c r="AJ220" s="547"/>
      <c r="AK220" s="547"/>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row>
    <row r="221" spans="1:81">
      <c r="A221" s="547"/>
      <c r="B221" s="547"/>
      <c r="C221" s="547"/>
      <c r="D221" s="547"/>
      <c r="E221" s="547"/>
      <c r="F221" s="547"/>
      <c r="G221" s="547"/>
      <c r="H221" s="547"/>
      <c r="I221" s="547"/>
      <c r="J221" s="547"/>
      <c r="K221" s="547"/>
      <c r="L221" s="547"/>
      <c r="M221" s="547"/>
      <c r="N221" s="547"/>
      <c r="O221" s="547"/>
      <c r="P221" s="547"/>
      <c r="Q221" s="547"/>
      <c r="R221" s="547"/>
      <c r="S221" s="547"/>
      <c r="T221" s="547"/>
      <c r="U221" s="547"/>
      <c r="V221" s="547"/>
      <c r="W221" s="547"/>
      <c r="X221" s="547"/>
      <c r="Y221" s="547"/>
      <c r="Z221" s="547"/>
      <c r="AA221" s="547"/>
      <c r="AB221" s="547"/>
      <c r="AC221" s="547"/>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row>
    <row r="222" spans="1:81">
      <c r="A222" s="547"/>
      <c r="B222" s="547"/>
      <c r="C222" s="547"/>
      <c r="D222" s="547"/>
      <c r="E222" s="547"/>
      <c r="F222" s="547"/>
      <c r="G222" s="547"/>
      <c r="H222" s="547"/>
      <c r="I222" s="547"/>
      <c r="J222" s="547"/>
      <c r="K222" s="547"/>
      <c r="L222" s="547"/>
      <c r="M222" s="547"/>
      <c r="N222" s="547"/>
      <c r="O222" s="547"/>
      <c r="P222" s="547"/>
      <c r="Q222" s="547"/>
      <c r="R222" s="547"/>
      <c r="S222" s="547"/>
      <c r="T222" s="547"/>
      <c r="U222" s="547"/>
      <c r="V222" s="547"/>
      <c r="W222" s="547"/>
      <c r="X222" s="547"/>
      <c r="Y222" s="547"/>
      <c r="Z222" s="547"/>
      <c r="AA222" s="547"/>
      <c r="AB222" s="547"/>
      <c r="AC222" s="547"/>
      <c r="AD222" s="547"/>
      <c r="AE222" s="547"/>
      <c r="AF222" s="547"/>
      <c r="AG222" s="547"/>
      <c r="AH222" s="547"/>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7"/>
      <c r="BW222" s="547"/>
      <c r="BX222" s="547"/>
      <c r="BY222" s="547"/>
      <c r="BZ222" s="547"/>
      <c r="CA222" s="547"/>
      <c r="CB222" s="547"/>
      <c r="CC222" s="547"/>
    </row>
    <row r="223" spans="1:81">
      <c r="A223" s="547"/>
      <c r="B223" s="547"/>
      <c r="C223" s="547"/>
      <c r="D223" s="547"/>
      <c r="E223" s="547"/>
      <c r="F223" s="547"/>
      <c r="G223" s="547"/>
      <c r="H223" s="547"/>
      <c r="I223" s="547"/>
      <c r="J223" s="547"/>
      <c r="K223" s="547"/>
      <c r="L223" s="547"/>
      <c r="M223" s="547"/>
      <c r="N223" s="547"/>
      <c r="O223" s="547"/>
      <c r="P223" s="547"/>
      <c r="Q223" s="547"/>
      <c r="R223" s="547"/>
      <c r="S223" s="547"/>
      <c r="T223" s="547"/>
      <c r="U223" s="547"/>
      <c r="V223" s="547"/>
      <c r="W223" s="547"/>
      <c r="X223" s="547"/>
      <c r="Y223" s="547"/>
      <c r="Z223" s="547"/>
      <c r="AA223" s="547"/>
      <c r="AB223" s="547"/>
      <c r="AC223" s="547"/>
      <c r="AD223" s="547"/>
      <c r="AE223" s="547"/>
      <c r="AF223" s="547"/>
      <c r="AG223" s="547"/>
      <c r="AH223" s="547"/>
      <c r="AI223" s="547"/>
      <c r="AJ223" s="547"/>
      <c r="AK223" s="547"/>
      <c r="AL223" s="547"/>
      <c r="AM223" s="547"/>
      <c r="AN223" s="547"/>
      <c r="AO223" s="547"/>
      <c r="AP223" s="547"/>
      <c r="AQ223" s="547"/>
      <c r="AR223" s="547"/>
      <c r="AS223" s="547"/>
      <c r="AT223" s="547"/>
      <c r="AU223" s="547"/>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7"/>
      <c r="BW223" s="547"/>
      <c r="BX223" s="547"/>
      <c r="BY223" s="547"/>
      <c r="BZ223" s="547"/>
      <c r="CA223" s="547"/>
      <c r="CB223" s="547"/>
      <c r="CC223" s="547"/>
    </row>
    <row r="224" spans="1:81">
      <c r="A224" s="547"/>
      <c r="B224" s="547"/>
      <c r="C224" s="547"/>
      <c r="D224" s="547"/>
      <c r="E224" s="547"/>
      <c r="F224" s="547"/>
      <c r="G224" s="547"/>
      <c r="H224" s="547"/>
      <c r="I224" s="547"/>
      <c r="J224" s="547"/>
      <c r="K224" s="547"/>
      <c r="L224" s="547"/>
      <c r="M224" s="547"/>
      <c r="N224" s="547"/>
      <c r="O224" s="547"/>
      <c r="P224" s="547"/>
      <c r="Q224" s="547"/>
      <c r="R224" s="547"/>
      <c r="S224" s="547"/>
      <c r="T224" s="547"/>
      <c r="U224" s="547"/>
      <c r="V224" s="547"/>
      <c r="W224" s="547"/>
      <c r="X224" s="547"/>
      <c r="Y224" s="547"/>
      <c r="Z224" s="547"/>
      <c r="AA224" s="547"/>
      <c r="AB224" s="547"/>
      <c r="AC224" s="547"/>
      <c r="AD224" s="547"/>
      <c r="AE224" s="547"/>
      <c r="AF224" s="547"/>
      <c r="AG224" s="547"/>
      <c r="AH224" s="547"/>
      <c r="AI224" s="547"/>
      <c r="AJ224" s="547"/>
      <c r="AK224" s="547"/>
      <c r="AL224" s="547"/>
      <c r="AM224" s="547"/>
      <c r="AN224" s="547"/>
      <c r="AO224" s="547"/>
      <c r="AP224" s="547"/>
      <c r="AQ224" s="547"/>
      <c r="AR224" s="547"/>
      <c r="AS224" s="547"/>
      <c r="AT224" s="547"/>
      <c r="AU224" s="547"/>
      <c r="AV224" s="547"/>
      <c r="AW224" s="547"/>
      <c r="AX224" s="547"/>
      <c r="AY224" s="547"/>
      <c r="AZ224" s="547"/>
      <c r="BA224" s="547"/>
      <c r="BB224" s="547"/>
      <c r="BC224" s="547"/>
      <c r="BD224" s="547"/>
      <c r="BE224" s="547"/>
      <c r="BF224" s="547"/>
      <c r="BG224" s="547"/>
      <c r="BH224" s="547"/>
      <c r="BI224" s="547"/>
      <c r="BJ224" s="547"/>
      <c r="BK224" s="547"/>
      <c r="BL224" s="547"/>
      <c r="BM224" s="547"/>
      <c r="BN224" s="547"/>
      <c r="BO224" s="547"/>
      <c r="BP224" s="547"/>
      <c r="BQ224" s="547"/>
      <c r="BR224" s="547"/>
      <c r="BS224" s="547"/>
      <c r="BT224" s="547"/>
      <c r="BU224" s="547"/>
      <c r="BV224" s="547"/>
      <c r="BW224" s="547"/>
      <c r="BX224" s="547"/>
      <c r="BY224" s="547"/>
      <c r="BZ224" s="547"/>
      <c r="CA224" s="547"/>
      <c r="CB224" s="547"/>
      <c r="CC224" s="547"/>
    </row>
    <row r="225" spans="1:81">
      <c r="A225" s="547"/>
      <c r="B225" s="547"/>
      <c r="C225" s="547"/>
      <c r="D225" s="547"/>
      <c r="E225" s="547"/>
      <c r="F225" s="547"/>
      <c r="G225" s="547"/>
      <c r="H225" s="547"/>
      <c r="I225" s="547"/>
      <c r="J225" s="547"/>
      <c r="K225" s="547"/>
      <c r="L225" s="547"/>
      <c r="M225" s="547"/>
      <c r="N225" s="547"/>
      <c r="O225" s="547"/>
      <c r="P225" s="547"/>
      <c r="Q225" s="547"/>
      <c r="R225" s="547"/>
      <c r="S225" s="547"/>
      <c r="T225" s="547"/>
      <c r="U225" s="547"/>
      <c r="V225" s="547"/>
      <c r="W225" s="547"/>
      <c r="X225" s="547"/>
      <c r="Y225" s="547"/>
      <c r="Z225" s="547"/>
      <c r="AA225" s="547"/>
      <c r="AB225" s="547"/>
      <c r="AC225" s="547"/>
      <c r="AD225" s="547"/>
      <c r="AE225" s="547"/>
      <c r="AF225" s="547"/>
      <c r="AG225" s="547"/>
      <c r="AH225" s="547"/>
      <c r="AI225" s="547"/>
      <c r="AJ225" s="547"/>
      <c r="AK225" s="547"/>
      <c r="AL225" s="547"/>
      <c r="AM225" s="547"/>
      <c r="AN225" s="547"/>
      <c r="AO225" s="547"/>
      <c r="AP225" s="547"/>
      <c r="AQ225" s="547"/>
      <c r="AR225" s="547"/>
      <c r="AS225" s="547"/>
      <c r="AT225" s="547"/>
      <c r="AU225" s="547"/>
      <c r="AV225" s="547"/>
      <c r="AW225" s="547"/>
      <c r="AX225" s="547"/>
      <c r="AY225" s="547"/>
      <c r="AZ225" s="547"/>
      <c r="BA225" s="547"/>
      <c r="BB225" s="547"/>
      <c r="BC225" s="547"/>
      <c r="BD225" s="547"/>
      <c r="BE225" s="547"/>
      <c r="BF225" s="547"/>
      <c r="BG225" s="547"/>
      <c r="BH225" s="547"/>
      <c r="BI225" s="547"/>
      <c r="BJ225" s="547"/>
      <c r="BK225" s="547"/>
      <c r="BL225" s="547"/>
      <c r="BM225" s="547"/>
      <c r="BN225" s="547"/>
      <c r="BO225" s="547"/>
      <c r="BP225" s="547"/>
      <c r="BQ225" s="547"/>
      <c r="BR225" s="547"/>
      <c r="BS225" s="547"/>
      <c r="BT225" s="547"/>
      <c r="BU225" s="547"/>
      <c r="BV225" s="547"/>
      <c r="BW225" s="547"/>
      <c r="BX225" s="547"/>
      <c r="BY225" s="547"/>
      <c r="BZ225" s="547"/>
      <c r="CA225" s="547"/>
      <c r="CB225" s="547"/>
      <c r="CC225" s="547"/>
    </row>
    <row r="226" spans="1:81">
      <c r="A226" s="547"/>
      <c r="B226" s="547"/>
      <c r="C226" s="547"/>
      <c r="D226" s="547"/>
      <c r="E226" s="547"/>
      <c r="F226" s="547"/>
      <c r="G226" s="547"/>
      <c r="H226" s="547"/>
      <c r="I226" s="547"/>
      <c r="J226" s="547"/>
      <c r="K226" s="547"/>
      <c r="L226" s="547"/>
      <c r="M226" s="547"/>
      <c r="N226" s="547"/>
      <c r="O226" s="547"/>
      <c r="P226" s="547"/>
      <c r="Q226" s="547"/>
      <c r="R226" s="547"/>
      <c r="S226" s="547"/>
      <c r="T226" s="547"/>
      <c r="U226" s="547"/>
      <c r="V226" s="547"/>
      <c r="W226" s="547"/>
      <c r="X226" s="547"/>
      <c r="Y226" s="547"/>
      <c r="Z226" s="547"/>
      <c r="AA226" s="547"/>
      <c r="AB226" s="547"/>
      <c r="AC226" s="547"/>
      <c r="AD226" s="547"/>
      <c r="AE226" s="547"/>
      <c r="AF226" s="547"/>
      <c r="AG226" s="547"/>
      <c r="AH226" s="547"/>
      <c r="AI226" s="547"/>
      <c r="AJ226" s="547"/>
      <c r="AK226" s="547"/>
      <c r="AL226" s="547"/>
      <c r="AM226" s="547"/>
      <c r="AN226" s="547"/>
      <c r="AO226" s="547"/>
      <c r="AP226" s="547"/>
      <c r="AQ226" s="547"/>
      <c r="AR226" s="547"/>
      <c r="AS226" s="547"/>
      <c r="AT226" s="547"/>
      <c r="AU226" s="547"/>
      <c r="AV226" s="547"/>
      <c r="AW226" s="547"/>
      <c r="AX226" s="547"/>
      <c r="AY226" s="547"/>
      <c r="AZ226" s="547"/>
      <c r="BA226" s="547"/>
      <c r="BB226" s="547"/>
      <c r="BC226" s="547"/>
      <c r="BD226" s="547"/>
      <c r="BE226" s="547"/>
      <c r="BF226" s="547"/>
      <c r="BG226" s="547"/>
      <c r="BH226" s="547"/>
      <c r="BI226" s="547"/>
      <c r="BJ226" s="547"/>
      <c r="BK226" s="547"/>
      <c r="BL226" s="547"/>
      <c r="BM226" s="547"/>
      <c r="BN226" s="547"/>
      <c r="BO226" s="547"/>
      <c r="BP226" s="547"/>
      <c r="BQ226" s="547"/>
      <c r="BR226" s="547"/>
      <c r="BS226" s="547"/>
      <c r="BT226" s="547"/>
      <c r="BU226" s="547"/>
      <c r="BV226" s="547"/>
      <c r="BW226" s="547"/>
      <c r="BX226" s="547"/>
      <c r="BY226" s="547"/>
      <c r="BZ226" s="547"/>
      <c r="CA226" s="547"/>
      <c r="CB226" s="547"/>
      <c r="CC226" s="547"/>
    </row>
    <row r="227" spans="1:81">
      <c r="A227" s="547"/>
      <c r="B227" s="547"/>
      <c r="C227" s="547"/>
      <c r="D227" s="547"/>
      <c r="E227" s="547"/>
      <c r="F227" s="547"/>
      <c r="G227" s="547"/>
      <c r="H227" s="547"/>
      <c r="I227" s="547"/>
      <c r="J227" s="547"/>
      <c r="K227" s="547"/>
      <c r="L227" s="547"/>
      <c r="M227" s="547"/>
      <c r="N227" s="547"/>
      <c r="O227" s="547"/>
      <c r="P227" s="547"/>
      <c r="Q227" s="547"/>
      <c r="R227" s="547"/>
      <c r="S227" s="547"/>
      <c r="T227" s="547"/>
      <c r="U227" s="547"/>
      <c r="V227" s="547"/>
      <c r="W227" s="547"/>
      <c r="X227" s="547"/>
      <c r="Y227" s="547"/>
      <c r="Z227" s="547"/>
      <c r="AA227" s="547"/>
      <c r="AB227" s="547"/>
      <c r="AC227" s="547"/>
      <c r="AD227" s="547"/>
      <c r="AE227" s="547"/>
      <c r="AF227" s="547"/>
      <c r="AG227" s="547"/>
      <c r="AH227" s="547"/>
      <c r="AI227" s="547"/>
      <c r="AJ227" s="547"/>
      <c r="AK227" s="547"/>
      <c r="AL227" s="547"/>
      <c r="AM227" s="547"/>
      <c r="AN227" s="547"/>
      <c r="AO227" s="547"/>
      <c r="AP227" s="547"/>
      <c r="AQ227" s="547"/>
      <c r="AR227" s="547"/>
      <c r="AS227" s="547"/>
      <c r="AT227" s="547"/>
      <c r="AU227" s="547"/>
      <c r="AV227" s="547"/>
      <c r="AW227" s="547"/>
      <c r="AX227" s="547"/>
      <c r="AY227" s="547"/>
      <c r="AZ227" s="547"/>
      <c r="BA227" s="547"/>
      <c r="BB227" s="547"/>
      <c r="BC227" s="547"/>
      <c r="BD227" s="547"/>
      <c r="BE227" s="547"/>
      <c r="BF227" s="547"/>
      <c r="BG227" s="547"/>
      <c r="BH227" s="547"/>
      <c r="BI227" s="547"/>
      <c r="BJ227" s="547"/>
      <c r="BK227" s="547"/>
      <c r="BL227" s="547"/>
      <c r="BM227" s="547"/>
      <c r="BN227" s="547"/>
      <c r="BO227" s="547"/>
      <c r="BP227" s="547"/>
      <c r="BQ227" s="547"/>
      <c r="BR227" s="547"/>
      <c r="BS227" s="547"/>
      <c r="BT227" s="547"/>
      <c r="BU227" s="547"/>
      <c r="BV227" s="547"/>
      <c r="BW227" s="547"/>
      <c r="BX227" s="547"/>
      <c r="BY227" s="547"/>
      <c r="BZ227" s="547"/>
      <c r="CA227" s="547"/>
      <c r="CB227" s="547"/>
      <c r="CC227" s="547"/>
    </row>
    <row r="228" spans="1:81">
      <c r="A228" s="547"/>
      <c r="B228" s="547"/>
      <c r="C228" s="547"/>
      <c r="D228" s="547"/>
      <c r="E228" s="547"/>
      <c r="F228" s="547"/>
      <c r="G228" s="547"/>
      <c r="H228" s="547"/>
      <c r="I228" s="547"/>
      <c r="J228" s="547"/>
      <c r="K228" s="547"/>
      <c r="L228" s="547"/>
      <c r="M228" s="547"/>
      <c r="N228" s="547"/>
      <c r="O228" s="547"/>
      <c r="P228" s="547"/>
      <c r="Q228" s="547"/>
      <c r="R228" s="547"/>
      <c r="S228" s="547"/>
      <c r="T228" s="547"/>
      <c r="U228" s="547"/>
      <c r="V228" s="547"/>
      <c r="W228" s="547"/>
      <c r="X228" s="547"/>
      <c r="Y228" s="547"/>
      <c r="Z228" s="547"/>
      <c r="AA228" s="547"/>
      <c r="AB228" s="547"/>
      <c r="AC228" s="547"/>
      <c r="AD228" s="547"/>
      <c r="AE228" s="547"/>
      <c r="AF228" s="547"/>
      <c r="AG228" s="547"/>
      <c r="AH228" s="547"/>
      <c r="AI228" s="547"/>
      <c r="AJ228" s="547"/>
      <c r="AK228" s="547"/>
      <c r="AL228" s="547"/>
      <c r="AM228" s="547"/>
      <c r="AN228" s="547"/>
      <c r="AO228" s="547"/>
      <c r="AP228" s="547"/>
      <c r="AQ228" s="547"/>
      <c r="AR228" s="547"/>
      <c r="AS228" s="547"/>
      <c r="AT228" s="547"/>
      <c r="AU228" s="547"/>
      <c r="AV228" s="547"/>
      <c r="AW228" s="547"/>
      <c r="AX228" s="547"/>
      <c r="AY228" s="547"/>
      <c r="AZ228" s="547"/>
      <c r="BA228" s="547"/>
      <c r="BB228" s="547"/>
      <c r="BC228" s="547"/>
      <c r="BD228" s="547"/>
      <c r="BE228" s="547"/>
      <c r="BF228" s="547"/>
      <c r="BG228" s="547"/>
      <c r="BH228" s="547"/>
      <c r="BI228" s="547"/>
      <c r="BJ228" s="547"/>
      <c r="BK228" s="547"/>
      <c r="BL228" s="547"/>
      <c r="BM228" s="547"/>
      <c r="BN228" s="547"/>
      <c r="BO228" s="547"/>
      <c r="BP228" s="547"/>
      <c r="BQ228" s="547"/>
      <c r="BR228" s="547"/>
      <c r="BS228" s="547"/>
      <c r="BT228" s="547"/>
      <c r="BU228" s="547"/>
      <c r="BV228" s="547"/>
      <c r="BW228" s="547"/>
      <c r="BX228" s="547"/>
      <c r="BY228" s="547"/>
      <c r="BZ228" s="547"/>
      <c r="CA228" s="547"/>
      <c r="CB228" s="547"/>
      <c r="CC228" s="547"/>
    </row>
    <row r="229" spans="1:81">
      <c r="A229" s="547"/>
      <c r="B229" s="547"/>
      <c r="C229" s="547"/>
      <c r="D229" s="547"/>
      <c r="E229" s="547"/>
      <c r="F229" s="547"/>
      <c r="G229" s="547"/>
      <c r="H229" s="547"/>
      <c r="I229" s="547"/>
      <c r="J229" s="547"/>
      <c r="K229" s="547"/>
      <c r="L229" s="547"/>
      <c r="M229" s="547"/>
      <c r="N229" s="547"/>
      <c r="O229" s="547"/>
      <c r="P229" s="547"/>
      <c r="Q229" s="547"/>
      <c r="R229" s="547"/>
      <c r="S229" s="547"/>
      <c r="T229" s="547"/>
      <c r="U229" s="547"/>
      <c r="V229" s="547"/>
      <c r="W229" s="547"/>
      <c r="X229" s="547"/>
      <c r="Y229" s="547"/>
      <c r="Z229" s="547"/>
      <c r="AA229" s="547"/>
      <c r="AB229" s="547"/>
      <c r="AC229" s="547"/>
      <c r="AD229" s="547"/>
      <c r="AE229" s="547"/>
      <c r="AF229" s="547"/>
      <c r="AG229" s="547"/>
      <c r="AH229" s="547"/>
      <c r="AI229" s="547"/>
      <c r="AJ229" s="547"/>
      <c r="AK229" s="547"/>
      <c r="AL229" s="547"/>
      <c r="AM229" s="547"/>
      <c r="AN229" s="547"/>
      <c r="AO229" s="547"/>
      <c r="AP229" s="547"/>
      <c r="AQ229" s="547"/>
      <c r="AR229" s="547"/>
      <c r="AS229" s="547"/>
      <c r="AT229" s="547"/>
      <c r="AU229" s="547"/>
      <c r="AV229" s="547"/>
      <c r="AW229" s="547"/>
      <c r="AX229" s="547"/>
      <c r="AY229" s="547"/>
      <c r="AZ229" s="547"/>
      <c r="BA229" s="547"/>
      <c r="BB229" s="547"/>
      <c r="BC229" s="547"/>
      <c r="BD229" s="547"/>
      <c r="BE229" s="547"/>
      <c r="BF229" s="547"/>
      <c r="BG229" s="547"/>
      <c r="BH229" s="547"/>
      <c r="BI229" s="547"/>
      <c r="BJ229" s="547"/>
      <c r="BK229" s="547"/>
      <c r="BL229" s="547"/>
      <c r="BM229" s="547"/>
      <c r="BN229" s="547"/>
      <c r="BO229" s="547"/>
      <c r="BP229" s="547"/>
      <c r="BQ229" s="547"/>
      <c r="BR229" s="547"/>
      <c r="BS229" s="547"/>
      <c r="BT229" s="547"/>
      <c r="BU229" s="547"/>
      <c r="BV229" s="547"/>
      <c r="BW229" s="547"/>
      <c r="BX229" s="547"/>
      <c r="BY229" s="547"/>
      <c r="BZ229" s="547"/>
      <c r="CA229" s="547"/>
      <c r="CB229" s="547"/>
      <c r="CC229" s="547"/>
    </row>
    <row r="230" spans="1:81">
      <c r="A230" s="547"/>
      <c r="B230" s="547"/>
      <c r="C230" s="547"/>
      <c r="D230" s="547"/>
      <c r="E230" s="547"/>
      <c r="F230" s="547"/>
      <c r="G230" s="547"/>
      <c r="H230" s="547"/>
      <c r="I230" s="547"/>
      <c r="J230" s="547"/>
      <c r="K230" s="547"/>
      <c r="L230" s="547"/>
      <c r="M230" s="547"/>
      <c r="N230" s="547"/>
      <c r="O230" s="547"/>
      <c r="P230" s="547"/>
      <c r="Q230" s="547"/>
      <c r="R230" s="547"/>
      <c r="S230" s="547"/>
      <c r="T230" s="547"/>
      <c r="U230" s="547"/>
      <c r="V230" s="547"/>
      <c r="W230" s="547"/>
      <c r="X230" s="547"/>
      <c r="Y230" s="547"/>
      <c r="Z230" s="547"/>
      <c r="AA230" s="547"/>
      <c r="AB230" s="547"/>
      <c r="AC230" s="547"/>
      <c r="AD230" s="547"/>
      <c r="AE230" s="547"/>
      <c r="AF230" s="547"/>
      <c r="AG230" s="547"/>
      <c r="AH230" s="547"/>
      <c r="AI230" s="547"/>
      <c r="AJ230" s="547"/>
      <c r="AK230" s="547"/>
      <c r="AL230" s="547"/>
      <c r="AM230" s="547"/>
      <c r="AN230" s="547"/>
      <c r="AO230" s="547"/>
      <c r="AP230" s="547"/>
      <c r="AQ230" s="547"/>
      <c r="AR230" s="547"/>
      <c r="AS230" s="547"/>
      <c r="AT230" s="547"/>
      <c r="AU230" s="547"/>
      <c r="AV230" s="547"/>
      <c r="AW230" s="547"/>
      <c r="AX230" s="547"/>
      <c r="AY230" s="547"/>
      <c r="AZ230" s="547"/>
      <c r="BA230" s="547"/>
      <c r="BB230" s="547"/>
      <c r="BC230" s="547"/>
      <c r="BD230" s="547"/>
      <c r="BE230" s="547"/>
      <c r="BF230" s="547"/>
      <c r="BG230" s="547"/>
      <c r="BH230" s="547"/>
      <c r="BI230" s="547"/>
      <c r="BJ230" s="547"/>
      <c r="BK230" s="547"/>
      <c r="BL230" s="547"/>
      <c r="BM230" s="547"/>
      <c r="BN230" s="547"/>
      <c r="BO230" s="547"/>
      <c r="BP230" s="547"/>
      <c r="BQ230" s="547"/>
      <c r="BR230" s="547"/>
      <c r="BS230" s="547"/>
      <c r="BT230" s="547"/>
      <c r="BU230" s="547"/>
      <c r="BV230" s="547"/>
      <c r="BW230" s="547"/>
      <c r="BX230" s="547"/>
      <c r="BY230" s="547"/>
      <c r="BZ230" s="547"/>
      <c r="CA230" s="547"/>
      <c r="CB230" s="547"/>
      <c r="CC230" s="547"/>
    </row>
    <row r="231" spans="1:81">
      <c r="A231" s="547"/>
      <c r="B231" s="547"/>
      <c r="C231" s="547"/>
      <c r="D231" s="547"/>
      <c r="E231" s="547"/>
      <c r="F231" s="547"/>
      <c r="G231" s="547"/>
      <c r="H231" s="547"/>
      <c r="I231" s="547"/>
      <c r="J231" s="547"/>
      <c r="K231" s="547"/>
      <c r="L231" s="547"/>
      <c r="M231" s="547"/>
      <c r="N231" s="547"/>
      <c r="O231" s="547"/>
      <c r="P231" s="547"/>
      <c r="Q231" s="547"/>
      <c r="R231" s="547"/>
      <c r="S231" s="547"/>
      <c r="T231" s="547"/>
      <c r="U231" s="547"/>
      <c r="V231" s="547"/>
      <c r="W231" s="547"/>
      <c r="X231" s="547"/>
      <c r="Y231" s="547"/>
      <c r="Z231" s="547"/>
      <c r="AA231" s="547"/>
      <c r="AB231" s="547"/>
      <c r="AC231" s="547"/>
      <c r="AD231" s="547"/>
      <c r="AE231" s="547"/>
      <c r="AF231" s="547"/>
      <c r="AG231" s="547"/>
      <c r="AH231" s="547"/>
      <c r="AI231" s="547"/>
      <c r="AJ231" s="547"/>
      <c r="AK231" s="547"/>
      <c r="AL231" s="547"/>
      <c r="AM231" s="547"/>
      <c r="AN231" s="547"/>
      <c r="AO231" s="547"/>
      <c r="AP231" s="547"/>
      <c r="AQ231" s="547"/>
      <c r="AR231" s="547"/>
      <c r="AS231" s="547"/>
      <c r="AT231" s="547"/>
      <c r="AU231" s="547"/>
      <c r="AV231" s="547"/>
      <c r="AW231" s="547"/>
      <c r="AX231" s="547"/>
      <c r="AY231" s="547"/>
      <c r="AZ231" s="547"/>
      <c r="BA231" s="547"/>
      <c r="BB231" s="547"/>
      <c r="BC231" s="547"/>
      <c r="BD231" s="547"/>
      <c r="BE231" s="547"/>
      <c r="BF231" s="547"/>
      <c r="BG231" s="547"/>
      <c r="BH231" s="547"/>
      <c r="BI231" s="547"/>
      <c r="BJ231" s="547"/>
      <c r="BK231" s="547"/>
      <c r="BL231" s="547"/>
      <c r="BM231" s="547"/>
      <c r="BN231" s="547"/>
      <c r="BO231" s="547"/>
      <c r="BP231" s="547"/>
      <c r="BQ231" s="547"/>
      <c r="BR231" s="547"/>
      <c r="BS231" s="547"/>
      <c r="BT231" s="547"/>
      <c r="BU231" s="547"/>
      <c r="BV231" s="547"/>
      <c r="BW231" s="547"/>
      <c r="BX231" s="547"/>
      <c r="BY231" s="547"/>
      <c r="BZ231" s="547"/>
      <c r="CA231" s="547"/>
      <c r="CB231" s="547"/>
      <c r="CC231" s="547"/>
    </row>
    <row r="232" spans="1:81">
      <c r="A232" s="547"/>
      <c r="B232" s="547"/>
      <c r="C232" s="547"/>
      <c r="D232" s="547"/>
      <c r="E232" s="547"/>
      <c r="F232" s="547"/>
      <c r="G232" s="547"/>
      <c r="H232" s="547"/>
      <c r="I232" s="547"/>
      <c r="J232" s="547"/>
      <c r="K232" s="547"/>
      <c r="L232" s="547"/>
      <c r="M232" s="547"/>
      <c r="N232" s="547"/>
      <c r="O232" s="547"/>
      <c r="P232" s="547"/>
      <c r="Q232" s="547"/>
      <c r="R232" s="547"/>
      <c r="S232" s="547"/>
      <c r="T232" s="547"/>
      <c r="U232" s="547"/>
      <c r="V232" s="547"/>
      <c r="W232" s="547"/>
      <c r="X232" s="547"/>
      <c r="Y232" s="547"/>
      <c r="Z232" s="547"/>
      <c r="AA232" s="547"/>
      <c r="AB232" s="547"/>
      <c r="AC232" s="547"/>
      <c r="AD232" s="547"/>
      <c r="AE232" s="547"/>
      <c r="AF232" s="547"/>
      <c r="AG232" s="547"/>
      <c r="AH232" s="547"/>
      <c r="AI232" s="547"/>
      <c r="AJ232" s="547"/>
      <c r="AK232" s="547"/>
      <c r="AL232" s="547"/>
      <c r="AM232" s="547"/>
      <c r="AN232" s="547"/>
      <c r="AO232" s="547"/>
      <c r="AP232" s="547"/>
      <c r="AQ232" s="547"/>
      <c r="AR232" s="547"/>
      <c r="AS232" s="547"/>
      <c r="AT232" s="547"/>
      <c r="AU232" s="547"/>
      <c r="AV232" s="547"/>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7"/>
      <c r="BW232" s="547"/>
      <c r="BX232" s="547"/>
      <c r="BY232" s="547"/>
      <c r="BZ232" s="547"/>
      <c r="CA232" s="547"/>
      <c r="CB232" s="547"/>
      <c r="CC232" s="547"/>
    </row>
    <row r="233" spans="1:81">
      <c r="A233" s="547"/>
      <c r="B233" s="547"/>
      <c r="C233" s="547"/>
      <c r="D233" s="547"/>
      <c r="E233" s="547"/>
      <c r="F233" s="547"/>
      <c r="G233" s="547"/>
      <c r="H233" s="547"/>
      <c r="I233" s="547"/>
      <c r="J233" s="547"/>
      <c r="K233" s="547"/>
      <c r="L233" s="547"/>
      <c r="M233" s="547"/>
      <c r="N233" s="547"/>
      <c r="O233" s="547"/>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7"/>
      <c r="BB233" s="547"/>
      <c r="BC233" s="547"/>
      <c r="BD233" s="547"/>
      <c r="BE233" s="547"/>
      <c r="BF233" s="547"/>
      <c r="BG233" s="547"/>
      <c r="BH233" s="547"/>
      <c r="BI233" s="547"/>
      <c r="BJ233" s="547"/>
      <c r="BK233" s="547"/>
      <c r="BL233" s="547"/>
      <c r="BM233" s="547"/>
      <c r="BN233" s="547"/>
      <c r="BO233" s="547"/>
      <c r="BP233" s="547"/>
      <c r="BQ233" s="547"/>
      <c r="BR233" s="547"/>
      <c r="BS233" s="547"/>
      <c r="BT233" s="547"/>
      <c r="BU233" s="547"/>
      <c r="BV233" s="547"/>
      <c r="BW233" s="547"/>
      <c r="BX233" s="547"/>
      <c r="BY233" s="547"/>
      <c r="BZ233" s="547"/>
      <c r="CA233" s="547"/>
      <c r="CB233" s="547"/>
      <c r="CC233" s="547"/>
    </row>
    <row r="234" spans="1:81">
      <c r="A234" s="547"/>
      <c r="B234" s="547"/>
      <c r="C234" s="547"/>
      <c r="D234" s="547"/>
      <c r="E234" s="547"/>
      <c r="F234" s="547"/>
      <c r="G234" s="547"/>
      <c r="H234" s="547"/>
      <c r="I234" s="547"/>
      <c r="J234" s="547"/>
      <c r="K234" s="547"/>
      <c r="L234" s="547"/>
      <c r="M234" s="547"/>
      <c r="N234" s="547"/>
      <c r="O234" s="547"/>
      <c r="P234" s="547"/>
      <c r="Q234" s="547"/>
      <c r="R234" s="547"/>
      <c r="S234" s="547"/>
      <c r="T234" s="547"/>
      <c r="U234" s="547"/>
      <c r="V234" s="547"/>
      <c r="W234" s="547"/>
      <c r="X234" s="547"/>
      <c r="Y234" s="547"/>
      <c r="Z234" s="547"/>
      <c r="AA234" s="547"/>
      <c r="AB234" s="547"/>
      <c r="AC234" s="547"/>
      <c r="AD234" s="547"/>
      <c r="AE234" s="547"/>
      <c r="AF234" s="547"/>
      <c r="AG234" s="547"/>
      <c r="AH234" s="547"/>
      <c r="AI234" s="547"/>
      <c r="AJ234" s="547"/>
      <c r="AK234" s="547"/>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row>
    <row r="235" spans="1:81">
      <c r="A235" s="547"/>
      <c r="B235" s="547"/>
      <c r="C235" s="547"/>
      <c r="D235" s="547"/>
      <c r="E235" s="547"/>
      <c r="F235" s="547"/>
      <c r="G235" s="547"/>
      <c r="H235" s="547"/>
      <c r="I235" s="547"/>
      <c r="J235" s="547"/>
      <c r="K235" s="547"/>
      <c r="L235" s="547"/>
      <c r="M235" s="547"/>
      <c r="N235" s="547"/>
      <c r="O235" s="547"/>
      <c r="P235" s="547"/>
      <c r="Q235" s="547"/>
      <c r="R235" s="547"/>
      <c r="S235" s="547"/>
      <c r="T235" s="547"/>
      <c r="U235" s="547"/>
      <c r="V235" s="547"/>
      <c r="W235" s="547"/>
      <c r="X235" s="547"/>
      <c r="Y235" s="547"/>
      <c r="Z235" s="547"/>
      <c r="AA235" s="547"/>
      <c r="AB235" s="547"/>
      <c r="AC235" s="547"/>
      <c r="AD235" s="547"/>
      <c r="AE235" s="547"/>
      <c r="AF235" s="547"/>
      <c r="AG235" s="547"/>
      <c r="AH235" s="547"/>
      <c r="AI235" s="547"/>
      <c r="AJ235" s="547"/>
      <c r="AK235" s="547"/>
      <c r="AL235" s="547"/>
      <c r="AM235" s="547"/>
      <c r="AN235" s="547"/>
      <c r="AO235" s="547"/>
      <c r="AP235" s="547"/>
      <c r="AQ235" s="547"/>
      <c r="AR235" s="547"/>
      <c r="AS235" s="547"/>
      <c r="AT235" s="547"/>
      <c r="AU235" s="547"/>
      <c r="AV235" s="547"/>
      <c r="AW235" s="547"/>
      <c r="AX235" s="547"/>
      <c r="AY235" s="547"/>
      <c r="AZ235" s="547"/>
      <c r="BA235" s="547"/>
      <c r="BB235" s="547"/>
      <c r="BC235" s="547"/>
      <c r="BD235" s="547"/>
      <c r="BE235" s="547"/>
      <c r="BF235" s="547"/>
      <c r="BG235" s="547"/>
      <c r="BH235" s="547"/>
      <c r="BI235" s="547"/>
      <c r="BJ235" s="547"/>
      <c r="BK235" s="547"/>
      <c r="BL235" s="547"/>
      <c r="BM235" s="547"/>
      <c r="BN235" s="547"/>
      <c r="BO235" s="547"/>
      <c r="BP235" s="547"/>
      <c r="BQ235" s="547"/>
      <c r="BR235" s="547"/>
      <c r="BS235" s="547"/>
      <c r="BT235" s="547"/>
      <c r="BU235" s="547"/>
      <c r="BV235" s="547"/>
      <c r="BW235" s="547"/>
      <c r="BX235" s="547"/>
      <c r="BY235" s="547"/>
      <c r="BZ235" s="547"/>
      <c r="CA235" s="547"/>
      <c r="CB235" s="547"/>
      <c r="CC235" s="547"/>
    </row>
    <row r="236" spans="1:81">
      <c r="A236" s="547"/>
      <c r="B236" s="547"/>
      <c r="C236" s="547"/>
      <c r="D236" s="547"/>
      <c r="E236" s="547"/>
      <c r="F236" s="547"/>
      <c r="G236" s="547"/>
      <c r="H236" s="547"/>
      <c r="I236" s="547"/>
      <c r="J236" s="547"/>
      <c r="K236" s="547"/>
      <c r="L236" s="547"/>
      <c r="M236" s="547"/>
      <c r="N236" s="547"/>
      <c r="O236" s="547"/>
      <c r="P236" s="547"/>
      <c r="Q236" s="547"/>
      <c r="R236" s="547"/>
      <c r="S236" s="547"/>
      <c r="T236" s="547"/>
      <c r="U236" s="547"/>
      <c r="V236" s="547"/>
      <c r="W236" s="547"/>
      <c r="X236" s="547"/>
      <c r="Y236" s="547"/>
      <c r="Z236" s="547"/>
      <c r="AA236" s="547"/>
      <c r="AB236" s="547"/>
      <c r="AC236" s="547"/>
      <c r="AD236" s="547"/>
      <c r="AE236" s="547"/>
      <c r="AF236" s="547"/>
      <c r="AG236" s="547"/>
      <c r="AH236" s="547"/>
      <c r="AI236" s="547"/>
      <c r="AJ236" s="547"/>
      <c r="AK236" s="547"/>
      <c r="AL236" s="547"/>
      <c r="AM236" s="547"/>
      <c r="AN236" s="547"/>
      <c r="AO236" s="547"/>
      <c r="AP236" s="547"/>
      <c r="AQ236" s="547"/>
      <c r="AR236" s="547"/>
      <c r="AS236" s="547"/>
      <c r="AT236" s="547"/>
      <c r="AU236" s="547"/>
      <c r="AV236" s="547"/>
      <c r="AW236" s="547"/>
      <c r="AX236" s="547"/>
      <c r="AY236" s="547"/>
      <c r="AZ236" s="547"/>
      <c r="BA236" s="547"/>
      <c r="BB236" s="547"/>
      <c r="BC236" s="547"/>
      <c r="BD236" s="547"/>
      <c r="BE236" s="547"/>
      <c r="BF236" s="547"/>
      <c r="BG236" s="547"/>
      <c r="BH236" s="547"/>
      <c r="BI236" s="547"/>
      <c r="BJ236" s="547"/>
      <c r="BK236" s="547"/>
      <c r="BL236" s="547"/>
      <c r="BM236" s="547"/>
      <c r="BN236" s="547"/>
      <c r="BO236" s="547"/>
      <c r="BP236" s="547"/>
      <c r="BQ236" s="547"/>
      <c r="BR236" s="547"/>
      <c r="BS236" s="547"/>
      <c r="BT236" s="547"/>
      <c r="BU236" s="547"/>
      <c r="BV236" s="547"/>
      <c r="BW236" s="547"/>
      <c r="BX236" s="547"/>
      <c r="BY236" s="547"/>
      <c r="BZ236" s="547"/>
      <c r="CA236" s="547"/>
      <c r="CB236" s="547"/>
      <c r="CC236" s="547"/>
    </row>
    <row r="237" spans="1:81">
      <c r="A237" s="547"/>
      <c r="B237" s="547"/>
      <c r="C237" s="547"/>
      <c r="D237" s="547"/>
      <c r="E237" s="547"/>
      <c r="F237" s="547"/>
      <c r="G237" s="547"/>
      <c r="H237" s="547"/>
      <c r="I237" s="547"/>
      <c r="J237" s="547"/>
      <c r="K237" s="547"/>
      <c r="L237" s="547"/>
      <c r="M237" s="547"/>
      <c r="N237" s="547"/>
      <c r="O237" s="547"/>
      <c r="P237" s="547"/>
      <c r="Q237" s="547"/>
      <c r="R237" s="547"/>
      <c r="S237" s="547"/>
      <c r="T237" s="547"/>
      <c r="U237" s="547"/>
      <c r="V237" s="547"/>
      <c r="W237" s="547"/>
      <c r="X237" s="547"/>
      <c r="Y237" s="547"/>
      <c r="Z237" s="547"/>
      <c r="AA237" s="547"/>
      <c r="AB237" s="547"/>
      <c r="AC237" s="547"/>
      <c r="AD237" s="547"/>
      <c r="AE237" s="547"/>
      <c r="AF237" s="547"/>
      <c r="AG237" s="547"/>
      <c r="AH237" s="547"/>
      <c r="AI237" s="547"/>
      <c r="AJ237" s="547"/>
      <c r="AK237" s="547"/>
      <c r="AL237" s="547"/>
      <c r="AM237" s="547"/>
      <c r="AN237" s="547"/>
      <c r="AO237" s="547"/>
      <c r="AP237" s="547"/>
      <c r="AQ237" s="547"/>
      <c r="AR237" s="547"/>
      <c r="AS237" s="547"/>
      <c r="AT237" s="547"/>
      <c r="AU237" s="547"/>
      <c r="AV237" s="547"/>
      <c r="AW237" s="547"/>
      <c r="AX237" s="547"/>
      <c r="AY237" s="547"/>
      <c r="AZ237" s="547"/>
      <c r="BA237" s="547"/>
      <c r="BB237" s="547"/>
      <c r="BC237" s="547"/>
      <c r="BD237" s="547"/>
      <c r="BE237" s="547"/>
      <c r="BF237" s="547"/>
      <c r="BG237" s="547"/>
      <c r="BH237" s="547"/>
      <c r="BI237" s="547"/>
      <c r="BJ237" s="547"/>
      <c r="BK237" s="547"/>
      <c r="BL237" s="547"/>
      <c r="BM237" s="547"/>
      <c r="BN237" s="547"/>
      <c r="BO237" s="547"/>
      <c r="BP237" s="547"/>
      <c r="BQ237" s="547"/>
      <c r="BR237" s="547"/>
      <c r="BS237" s="547"/>
      <c r="BT237" s="547"/>
      <c r="BU237" s="547"/>
      <c r="BV237" s="547"/>
      <c r="BW237" s="547"/>
      <c r="BX237" s="547"/>
      <c r="BY237" s="547"/>
      <c r="BZ237" s="547"/>
      <c r="CA237" s="547"/>
      <c r="CB237" s="547"/>
      <c r="CC237" s="547"/>
    </row>
    <row r="238" spans="1:81">
      <c r="A238" s="547"/>
      <c r="B238" s="547"/>
      <c r="C238" s="547"/>
      <c r="D238" s="547"/>
      <c r="E238" s="547"/>
      <c r="F238" s="547"/>
      <c r="G238" s="547"/>
      <c r="H238" s="547"/>
      <c r="I238" s="547"/>
      <c r="J238" s="547"/>
      <c r="K238" s="547"/>
      <c r="L238" s="547"/>
      <c r="M238" s="547"/>
      <c r="N238" s="547"/>
      <c r="O238" s="547"/>
      <c r="P238" s="547"/>
      <c r="Q238" s="547"/>
      <c r="R238" s="547"/>
      <c r="S238" s="547"/>
      <c r="T238" s="547"/>
      <c r="U238" s="547"/>
      <c r="V238" s="547"/>
      <c r="W238" s="547"/>
      <c r="X238" s="547"/>
      <c r="Y238" s="547"/>
      <c r="Z238" s="547"/>
      <c r="AA238" s="547"/>
      <c r="AB238" s="547"/>
      <c r="AC238" s="547"/>
      <c r="AD238" s="547"/>
      <c r="AE238" s="547"/>
      <c r="AF238" s="547"/>
      <c r="AG238" s="547"/>
      <c r="AH238" s="547"/>
      <c r="AI238" s="547"/>
      <c r="AJ238" s="547"/>
      <c r="AK238" s="547"/>
      <c r="AL238" s="547"/>
      <c r="AM238" s="547"/>
      <c r="AN238" s="547"/>
      <c r="AO238" s="547"/>
      <c r="AP238" s="547"/>
      <c r="AQ238" s="547"/>
      <c r="AR238" s="547"/>
      <c r="AS238" s="547"/>
      <c r="AT238" s="547"/>
      <c r="AU238" s="547"/>
      <c r="AV238" s="547"/>
      <c r="AW238" s="547"/>
      <c r="AX238" s="547"/>
      <c r="AY238" s="547"/>
      <c r="AZ238" s="547"/>
      <c r="BA238" s="547"/>
      <c r="BB238" s="547"/>
      <c r="BC238" s="547"/>
      <c r="BD238" s="547"/>
      <c r="BE238" s="547"/>
      <c r="BF238" s="547"/>
      <c r="BG238" s="547"/>
      <c r="BH238" s="547"/>
      <c r="BI238" s="547"/>
      <c r="BJ238" s="547"/>
      <c r="BK238" s="547"/>
      <c r="BL238" s="547"/>
      <c r="BM238" s="547"/>
      <c r="BN238" s="547"/>
      <c r="BO238" s="547"/>
      <c r="BP238" s="547"/>
      <c r="BQ238" s="547"/>
      <c r="BR238" s="547"/>
      <c r="BS238" s="547"/>
      <c r="BT238" s="547"/>
      <c r="BU238" s="547"/>
      <c r="BV238" s="547"/>
      <c r="BW238" s="547"/>
      <c r="BX238" s="547"/>
      <c r="BY238" s="547"/>
      <c r="BZ238" s="547"/>
      <c r="CA238" s="547"/>
      <c r="CB238" s="547"/>
      <c r="CC238" s="547"/>
    </row>
    <row r="239" spans="1:81">
      <c r="A239" s="547"/>
      <c r="B239" s="547"/>
      <c r="C239" s="547"/>
      <c r="D239" s="547"/>
      <c r="E239" s="547"/>
      <c r="F239" s="547"/>
      <c r="G239" s="547"/>
      <c r="H239" s="547"/>
      <c r="I239" s="547"/>
      <c r="J239" s="547"/>
      <c r="K239" s="547"/>
      <c r="L239" s="547"/>
      <c r="M239" s="547"/>
      <c r="N239" s="547"/>
      <c r="O239" s="547"/>
      <c r="P239" s="547"/>
      <c r="Q239" s="547"/>
      <c r="R239" s="547"/>
      <c r="S239" s="547"/>
      <c r="T239" s="547"/>
      <c r="U239" s="547"/>
      <c r="V239" s="547"/>
      <c r="W239" s="547"/>
      <c r="X239" s="547"/>
      <c r="Y239" s="547"/>
      <c r="Z239" s="547"/>
      <c r="AA239" s="547"/>
      <c r="AB239" s="547"/>
      <c r="AC239" s="547"/>
      <c r="AD239" s="547"/>
      <c r="AE239" s="547"/>
      <c r="AF239" s="547"/>
      <c r="AG239" s="547"/>
      <c r="AH239" s="547"/>
      <c r="AI239" s="547"/>
      <c r="AJ239" s="547"/>
      <c r="AK239" s="547"/>
      <c r="AL239" s="547"/>
      <c r="AM239" s="547"/>
      <c r="AN239" s="547"/>
      <c r="AO239" s="547"/>
      <c r="AP239" s="547"/>
      <c r="AQ239" s="547"/>
      <c r="AR239" s="547"/>
      <c r="AS239" s="547"/>
      <c r="AT239" s="547"/>
      <c r="AU239" s="547"/>
      <c r="AV239" s="547"/>
      <c r="AW239" s="547"/>
      <c r="AX239" s="547"/>
      <c r="AY239" s="547"/>
      <c r="AZ239" s="547"/>
      <c r="BA239" s="547"/>
      <c r="BB239" s="547"/>
      <c r="BC239" s="547"/>
      <c r="BD239" s="547"/>
      <c r="BE239" s="547"/>
      <c r="BF239" s="547"/>
      <c r="BG239" s="547"/>
      <c r="BH239" s="547"/>
      <c r="BI239" s="547"/>
      <c r="BJ239" s="547"/>
      <c r="BK239" s="547"/>
      <c r="BL239" s="547"/>
      <c r="BM239" s="547"/>
      <c r="BN239" s="547"/>
      <c r="BO239" s="547"/>
      <c r="BP239" s="547"/>
      <c r="BQ239" s="547"/>
      <c r="BR239" s="547"/>
      <c r="BS239" s="547"/>
      <c r="BT239" s="547"/>
      <c r="BU239" s="547"/>
      <c r="BV239" s="547"/>
      <c r="BW239" s="547"/>
      <c r="BX239" s="547"/>
      <c r="BY239" s="547"/>
      <c r="BZ239" s="547"/>
      <c r="CA239" s="547"/>
      <c r="CB239" s="547"/>
      <c r="CC239" s="547"/>
    </row>
    <row r="240" spans="1:81">
      <c r="A240" s="547"/>
      <c r="B240" s="547"/>
      <c r="C240" s="547"/>
      <c r="D240" s="547"/>
      <c r="E240" s="547"/>
      <c r="F240" s="547"/>
      <c r="G240" s="547"/>
      <c r="H240" s="547"/>
      <c r="I240" s="547"/>
      <c r="J240" s="547"/>
      <c r="K240" s="547"/>
      <c r="L240" s="547"/>
      <c r="M240" s="547"/>
      <c r="N240" s="547"/>
      <c r="O240" s="547"/>
      <c r="P240" s="547"/>
      <c r="Q240" s="547"/>
      <c r="R240" s="547"/>
      <c r="S240" s="547"/>
      <c r="T240" s="547"/>
      <c r="U240" s="547"/>
      <c r="V240" s="547"/>
      <c r="W240" s="547"/>
      <c r="X240" s="547"/>
      <c r="Y240" s="547"/>
      <c r="Z240" s="547"/>
      <c r="AA240" s="547"/>
      <c r="AB240" s="547"/>
      <c r="AC240" s="547"/>
      <c r="AD240" s="547"/>
      <c r="AE240" s="547"/>
      <c r="AF240" s="547"/>
      <c r="AG240" s="547"/>
      <c r="AH240" s="547"/>
      <c r="AI240" s="547"/>
      <c r="AJ240" s="547"/>
      <c r="AK240" s="547"/>
      <c r="AL240" s="547"/>
      <c r="AM240" s="547"/>
      <c r="AN240" s="547"/>
      <c r="AO240" s="547"/>
      <c r="AP240" s="547"/>
      <c r="AQ240" s="547"/>
      <c r="AR240" s="547"/>
      <c r="AS240" s="547"/>
      <c r="AT240" s="547"/>
      <c r="AU240" s="547"/>
      <c r="AV240" s="547"/>
      <c r="AW240" s="547"/>
      <c r="AX240" s="547"/>
      <c r="AY240" s="547"/>
      <c r="AZ240" s="547"/>
      <c r="BA240" s="547"/>
      <c r="BB240" s="547"/>
      <c r="BC240" s="547"/>
      <c r="BD240" s="547"/>
      <c r="BE240" s="547"/>
      <c r="BF240" s="547"/>
      <c r="BG240" s="547"/>
      <c r="BH240" s="547"/>
      <c r="BI240" s="547"/>
      <c r="BJ240" s="547"/>
      <c r="BK240" s="547"/>
      <c r="BL240" s="547"/>
      <c r="BM240" s="547"/>
      <c r="BN240" s="547"/>
      <c r="BO240" s="547"/>
      <c r="BP240" s="547"/>
      <c r="BQ240" s="547"/>
      <c r="BR240" s="547"/>
      <c r="BS240" s="547"/>
      <c r="BT240" s="547"/>
      <c r="BU240" s="547"/>
      <c r="BV240" s="547"/>
      <c r="BW240" s="547"/>
      <c r="BX240" s="547"/>
      <c r="BY240" s="547"/>
      <c r="BZ240" s="547"/>
      <c r="CA240" s="547"/>
      <c r="CB240" s="547"/>
      <c r="CC240" s="547"/>
    </row>
    <row r="241" spans="1:81">
      <c r="A241" s="547"/>
      <c r="B241" s="547"/>
      <c r="C241" s="547"/>
      <c r="D241" s="547"/>
      <c r="E241" s="547"/>
      <c r="F241" s="547"/>
      <c r="G241" s="547"/>
      <c r="H241" s="547"/>
      <c r="I241" s="547"/>
      <c r="J241" s="547"/>
      <c r="K241" s="547"/>
      <c r="L241" s="547"/>
      <c r="M241" s="547"/>
      <c r="N241" s="547"/>
      <c r="O241" s="547"/>
      <c r="P241" s="547"/>
      <c r="Q241" s="547"/>
      <c r="R241" s="547"/>
      <c r="S241" s="547"/>
      <c r="T241" s="547"/>
      <c r="U241" s="547"/>
      <c r="V241" s="547"/>
      <c r="W241" s="547"/>
      <c r="X241" s="547"/>
      <c r="Y241" s="547"/>
      <c r="Z241" s="547"/>
      <c r="AA241" s="547"/>
      <c r="AB241" s="547"/>
      <c r="AC241" s="547"/>
      <c r="AD241" s="547"/>
      <c r="AE241" s="547"/>
      <c r="AF241" s="547"/>
      <c r="AG241" s="547"/>
      <c r="AH241" s="547"/>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7"/>
      <c r="BW241" s="547"/>
      <c r="BX241" s="547"/>
      <c r="BY241" s="547"/>
      <c r="BZ241" s="547"/>
      <c r="CA241" s="547"/>
      <c r="CB241" s="547"/>
      <c r="CC241" s="547"/>
    </row>
    <row r="242" spans="1:81">
      <c r="A242" s="547"/>
      <c r="B242" s="547"/>
      <c r="C242" s="547"/>
      <c r="D242" s="547"/>
      <c r="E242" s="547"/>
      <c r="F242" s="547"/>
      <c r="G242" s="547"/>
      <c r="H242" s="547"/>
      <c r="I242" s="547"/>
      <c r="J242" s="547"/>
      <c r="K242" s="547"/>
      <c r="L242" s="547"/>
      <c r="M242" s="547"/>
      <c r="N242" s="547"/>
      <c r="O242" s="547"/>
      <c r="P242" s="547"/>
      <c r="Q242" s="547"/>
      <c r="R242" s="547"/>
      <c r="S242" s="547"/>
      <c r="T242" s="547"/>
      <c r="U242" s="547"/>
      <c r="V242" s="547"/>
      <c r="W242" s="547"/>
      <c r="X242" s="547"/>
      <c r="Y242" s="547"/>
      <c r="Z242" s="547"/>
      <c r="AA242" s="547"/>
      <c r="AB242" s="547"/>
      <c r="AC242" s="547"/>
      <c r="AD242" s="547"/>
      <c r="AE242" s="547"/>
      <c r="AF242" s="547"/>
      <c r="AG242" s="547"/>
      <c r="AH242" s="547"/>
      <c r="AI242" s="547"/>
      <c r="AJ242" s="547"/>
      <c r="AK242" s="547"/>
      <c r="AL242" s="547"/>
      <c r="AM242" s="547"/>
      <c r="AN242" s="547"/>
      <c r="AO242" s="547"/>
      <c r="AP242" s="547"/>
      <c r="AQ242" s="547"/>
      <c r="AR242" s="547"/>
      <c r="AS242" s="547"/>
      <c r="AT242" s="547"/>
      <c r="AU242" s="547"/>
      <c r="AV242" s="547"/>
      <c r="AW242" s="547"/>
      <c r="AX242" s="547"/>
      <c r="AY242" s="547"/>
      <c r="AZ242" s="547"/>
      <c r="BA242" s="547"/>
      <c r="BB242" s="547"/>
      <c r="BC242" s="547"/>
      <c r="BD242" s="547"/>
      <c r="BE242" s="547"/>
      <c r="BF242" s="547"/>
      <c r="BG242" s="547"/>
      <c r="BH242" s="547"/>
      <c r="BI242" s="547"/>
      <c r="BJ242" s="547"/>
      <c r="BK242" s="547"/>
      <c r="BL242" s="547"/>
      <c r="BM242" s="547"/>
      <c r="BN242" s="547"/>
      <c r="BO242" s="547"/>
      <c r="BP242" s="547"/>
      <c r="BQ242" s="547"/>
      <c r="BR242" s="547"/>
      <c r="BS242" s="547"/>
      <c r="BT242" s="547"/>
      <c r="BU242" s="547"/>
      <c r="BV242" s="547"/>
      <c r="BW242" s="547"/>
      <c r="BX242" s="547"/>
      <c r="BY242" s="547"/>
      <c r="BZ242" s="547"/>
      <c r="CA242" s="547"/>
      <c r="CB242" s="547"/>
      <c r="CC242" s="547"/>
    </row>
    <row r="243" spans="1:81">
      <c r="A243" s="547"/>
      <c r="B243" s="547"/>
      <c r="C243" s="547"/>
      <c r="D243" s="547"/>
      <c r="E243" s="547"/>
      <c r="F243" s="547"/>
      <c r="G243" s="547"/>
      <c r="H243" s="547"/>
      <c r="I243" s="547"/>
      <c r="J243" s="547"/>
      <c r="K243" s="547"/>
      <c r="L243" s="547"/>
      <c r="M243" s="547"/>
      <c r="N243" s="547"/>
      <c r="O243" s="547"/>
      <c r="P243" s="547"/>
      <c r="Q243" s="547"/>
      <c r="R243" s="547"/>
      <c r="S243" s="547"/>
      <c r="T243" s="547"/>
      <c r="U243" s="547"/>
      <c r="V243" s="547"/>
      <c r="W243" s="547"/>
      <c r="X243" s="547"/>
      <c r="Y243" s="547"/>
      <c r="Z243" s="547"/>
      <c r="AA243" s="547"/>
      <c r="AB243" s="547"/>
      <c r="AC243" s="547"/>
      <c r="AD243" s="547"/>
      <c r="AE243" s="547"/>
      <c r="AF243" s="547"/>
      <c r="AG243" s="547"/>
      <c r="AH243" s="547"/>
      <c r="AI243" s="547"/>
      <c r="AJ243" s="547"/>
      <c r="AK243" s="547"/>
      <c r="AL243" s="547"/>
      <c r="AM243" s="547"/>
      <c r="AN243" s="547"/>
      <c r="AO243" s="547"/>
      <c r="AP243" s="547"/>
      <c r="AQ243" s="547"/>
      <c r="AR243" s="547"/>
      <c r="AS243" s="547"/>
      <c r="AT243" s="547"/>
      <c r="AU243" s="547"/>
      <c r="AV243" s="547"/>
      <c r="AW243" s="547"/>
      <c r="AX243" s="547"/>
      <c r="AY243" s="547"/>
      <c r="AZ243" s="547"/>
      <c r="BA243" s="547"/>
      <c r="BB243" s="547"/>
      <c r="BC243" s="547"/>
      <c r="BD243" s="547"/>
      <c r="BE243" s="547"/>
      <c r="BF243" s="547"/>
      <c r="BG243" s="547"/>
      <c r="BH243" s="547"/>
      <c r="BI243" s="547"/>
      <c r="BJ243" s="547"/>
      <c r="BK243" s="547"/>
      <c r="BL243" s="547"/>
      <c r="BM243" s="547"/>
      <c r="BN243" s="547"/>
      <c r="BO243" s="547"/>
      <c r="BP243" s="547"/>
      <c r="BQ243" s="547"/>
      <c r="BR243" s="547"/>
      <c r="BS243" s="547"/>
      <c r="BT243" s="547"/>
      <c r="BU243" s="547"/>
      <c r="BV243" s="547"/>
      <c r="BW243" s="547"/>
      <c r="BX243" s="547"/>
      <c r="BY243" s="547"/>
      <c r="BZ243" s="547"/>
      <c r="CA243" s="547"/>
      <c r="CB243" s="547"/>
      <c r="CC243" s="547"/>
    </row>
    <row r="244" spans="1:81">
      <c r="A244" s="547"/>
      <c r="B244" s="547"/>
      <c r="C244" s="547"/>
      <c r="D244" s="547"/>
      <c r="E244" s="547"/>
      <c r="F244" s="547"/>
      <c r="G244" s="547"/>
      <c r="H244" s="547"/>
      <c r="I244" s="547"/>
      <c r="J244" s="547"/>
      <c r="K244" s="547"/>
      <c r="L244" s="547"/>
      <c r="M244" s="547"/>
      <c r="N244" s="547"/>
      <c r="O244" s="547"/>
      <c r="P244" s="547"/>
      <c r="Q244" s="547"/>
      <c r="R244" s="547"/>
      <c r="S244" s="547"/>
      <c r="T244" s="547"/>
      <c r="U244" s="547"/>
      <c r="V244" s="547"/>
      <c r="W244" s="547"/>
      <c r="X244" s="547"/>
      <c r="Y244" s="547"/>
      <c r="Z244" s="547"/>
      <c r="AA244" s="547"/>
      <c r="AB244" s="547"/>
      <c r="AC244" s="547"/>
      <c r="AD244" s="547"/>
      <c r="AE244" s="547"/>
      <c r="AF244" s="547"/>
      <c r="AG244" s="547"/>
      <c r="AH244" s="547"/>
      <c r="AI244" s="547"/>
      <c r="AJ244" s="547"/>
      <c r="AK244" s="547"/>
      <c r="AL244" s="547"/>
      <c r="AM244" s="547"/>
      <c r="AN244" s="547"/>
      <c r="AO244" s="547"/>
      <c r="AP244" s="547"/>
      <c r="AQ244" s="547"/>
      <c r="AR244" s="547"/>
      <c r="AS244" s="547"/>
      <c r="AT244" s="547"/>
      <c r="AU244" s="547"/>
      <c r="AV244" s="547"/>
      <c r="AW244" s="547"/>
      <c r="AX244" s="547"/>
      <c r="AY244" s="547"/>
      <c r="AZ244" s="547"/>
      <c r="BA244" s="547"/>
      <c r="BB244" s="547"/>
      <c r="BC244" s="547"/>
      <c r="BD244" s="547"/>
      <c r="BE244" s="547"/>
      <c r="BF244" s="547"/>
      <c r="BG244" s="547"/>
      <c r="BH244" s="547"/>
      <c r="BI244" s="547"/>
      <c r="BJ244" s="547"/>
      <c r="BK244" s="547"/>
      <c r="BL244" s="547"/>
      <c r="BM244" s="547"/>
      <c r="BN244" s="547"/>
      <c r="BO244" s="547"/>
      <c r="BP244" s="547"/>
      <c r="BQ244" s="547"/>
      <c r="BR244" s="547"/>
      <c r="BS244" s="547"/>
      <c r="BT244" s="547"/>
      <c r="BU244" s="547"/>
      <c r="BV244" s="547"/>
      <c r="BW244" s="547"/>
      <c r="BX244" s="547"/>
      <c r="BY244" s="547"/>
      <c r="BZ244" s="547"/>
      <c r="CA244" s="547"/>
      <c r="CB244" s="547"/>
      <c r="CC244" s="547"/>
    </row>
    <row r="245" spans="1:81">
      <c r="A245" s="547"/>
      <c r="B245" s="547"/>
      <c r="C245" s="547"/>
      <c r="D245" s="547"/>
      <c r="E245" s="547"/>
      <c r="F245" s="547"/>
      <c r="G245" s="547"/>
      <c r="H245" s="547"/>
      <c r="I245" s="547"/>
      <c r="J245" s="547"/>
      <c r="K245" s="547"/>
      <c r="L245" s="547"/>
      <c r="M245" s="547"/>
      <c r="N245" s="547"/>
      <c r="O245" s="547"/>
      <c r="P245" s="547"/>
      <c r="Q245" s="547"/>
      <c r="R245" s="547"/>
      <c r="S245" s="547"/>
      <c r="T245" s="547"/>
      <c r="U245" s="547"/>
      <c r="V245" s="547"/>
      <c r="W245" s="547"/>
      <c r="X245" s="547"/>
      <c r="Y245" s="547"/>
      <c r="Z245" s="547"/>
      <c r="AA245" s="547"/>
      <c r="AB245" s="547"/>
      <c r="AC245" s="547"/>
      <c r="AD245" s="547"/>
      <c r="AE245" s="547"/>
      <c r="AF245" s="547"/>
      <c r="AG245" s="547"/>
      <c r="AH245" s="547"/>
      <c r="AI245" s="547"/>
      <c r="AJ245" s="547"/>
      <c r="AK245" s="547"/>
      <c r="AL245" s="547"/>
      <c r="AM245" s="547"/>
      <c r="AN245" s="547"/>
      <c r="AO245" s="547"/>
      <c r="AP245" s="547"/>
      <c r="AQ245" s="547"/>
      <c r="AR245" s="547"/>
      <c r="AS245" s="547"/>
      <c r="AT245" s="547"/>
      <c r="AU245" s="547"/>
      <c r="AV245" s="547"/>
      <c r="AW245" s="547"/>
      <c r="AX245" s="547"/>
      <c r="AY245" s="547"/>
      <c r="AZ245" s="547"/>
      <c r="BA245" s="547"/>
      <c r="BB245" s="547"/>
      <c r="BC245" s="547"/>
      <c r="BD245" s="547"/>
      <c r="BE245" s="547"/>
      <c r="BF245" s="547"/>
      <c r="BG245" s="547"/>
      <c r="BH245" s="547"/>
      <c r="BI245" s="547"/>
      <c r="BJ245" s="547"/>
      <c r="BK245" s="547"/>
      <c r="BL245" s="547"/>
      <c r="BM245" s="547"/>
      <c r="BN245" s="547"/>
      <c r="BO245" s="547"/>
      <c r="BP245" s="547"/>
      <c r="BQ245" s="547"/>
      <c r="BR245" s="547"/>
      <c r="BS245" s="547"/>
      <c r="BT245" s="547"/>
      <c r="BU245" s="547"/>
      <c r="BV245" s="547"/>
      <c r="BW245" s="547"/>
      <c r="BX245" s="547"/>
      <c r="BY245" s="547"/>
      <c r="BZ245" s="547"/>
      <c r="CA245" s="547"/>
      <c r="CB245" s="547"/>
      <c r="CC245" s="547"/>
    </row>
    <row r="246" spans="1:81">
      <c r="A246" s="547"/>
      <c r="B246" s="547"/>
      <c r="C246" s="547"/>
      <c r="D246" s="547"/>
      <c r="E246" s="547"/>
      <c r="F246" s="547"/>
      <c r="G246" s="547"/>
      <c r="H246" s="547"/>
      <c r="I246" s="547"/>
      <c r="J246" s="547"/>
      <c r="K246" s="547"/>
      <c r="L246" s="547"/>
      <c r="M246" s="547"/>
      <c r="N246" s="547"/>
      <c r="O246" s="547"/>
      <c r="P246" s="547"/>
      <c r="Q246" s="547"/>
      <c r="R246" s="547"/>
      <c r="S246" s="547"/>
      <c r="T246" s="547"/>
      <c r="U246" s="547"/>
      <c r="V246" s="547"/>
      <c r="W246" s="547"/>
      <c r="X246" s="547"/>
      <c r="Y246" s="547"/>
      <c r="Z246" s="547"/>
      <c r="AA246" s="547"/>
      <c r="AB246" s="547"/>
      <c r="AC246" s="547"/>
      <c r="AD246" s="547"/>
      <c r="AE246" s="547"/>
      <c r="AF246" s="547"/>
      <c r="AG246" s="547"/>
      <c r="AH246" s="547"/>
      <c r="AI246" s="547"/>
      <c r="AJ246" s="547"/>
      <c r="AK246" s="547"/>
      <c r="AL246" s="547"/>
      <c r="AM246" s="547"/>
      <c r="AN246" s="547"/>
      <c r="AO246" s="547"/>
      <c r="AP246" s="547"/>
      <c r="AQ246" s="547"/>
      <c r="AR246" s="547"/>
      <c r="AS246" s="547"/>
      <c r="AT246" s="547"/>
      <c r="AU246" s="547"/>
      <c r="AV246" s="547"/>
      <c r="AW246" s="547"/>
      <c r="AX246" s="547"/>
      <c r="AY246" s="547"/>
      <c r="AZ246" s="547"/>
      <c r="BA246" s="547"/>
      <c r="BB246" s="547"/>
      <c r="BC246" s="547"/>
      <c r="BD246" s="547"/>
      <c r="BE246" s="547"/>
      <c r="BF246" s="547"/>
      <c r="BG246" s="547"/>
      <c r="BH246" s="547"/>
      <c r="BI246" s="547"/>
      <c r="BJ246" s="547"/>
      <c r="BK246" s="547"/>
      <c r="BL246" s="547"/>
      <c r="BM246" s="547"/>
      <c r="BN246" s="547"/>
      <c r="BO246" s="547"/>
      <c r="BP246" s="547"/>
      <c r="BQ246" s="547"/>
      <c r="BR246" s="547"/>
      <c r="BS246" s="547"/>
      <c r="BT246" s="547"/>
      <c r="BU246" s="547"/>
      <c r="BV246" s="547"/>
      <c r="BW246" s="547"/>
      <c r="BX246" s="547"/>
      <c r="BY246" s="547"/>
      <c r="BZ246" s="547"/>
      <c r="CA246" s="547"/>
      <c r="CB246" s="547"/>
      <c r="CC246" s="547"/>
    </row>
    <row r="247" spans="1:81">
      <c r="A247" s="547"/>
      <c r="B247" s="547"/>
      <c r="C247" s="547"/>
      <c r="D247" s="547"/>
      <c r="E247" s="547"/>
      <c r="F247" s="547"/>
      <c r="G247" s="547"/>
      <c r="H247" s="547"/>
      <c r="I247" s="547"/>
      <c r="J247" s="547"/>
      <c r="K247" s="547"/>
      <c r="L247" s="547"/>
      <c r="M247" s="547"/>
      <c r="N247" s="547"/>
      <c r="O247" s="547"/>
      <c r="P247" s="547"/>
      <c r="Q247" s="547"/>
      <c r="R247" s="547"/>
      <c r="S247" s="547"/>
      <c r="T247" s="547"/>
      <c r="U247" s="547"/>
      <c r="V247" s="547"/>
      <c r="W247" s="547"/>
      <c r="X247" s="547"/>
      <c r="Y247" s="547"/>
      <c r="Z247" s="547"/>
      <c r="AA247" s="547"/>
      <c r="AB247" s="547"/>
      <c r="AC247" s="547"/>
      <c r="AD247" s="547"/>
      <c r="AE247" s="547"/>
      <c r="AF247" s="547"/>
      <c r="AG247" s="547"/>
      <c r="AH247" s="547"/>
      <c r="AI247" s="547"/>
      <c r="AJ247" s="547"/>
      <c r="AK247" s="547"/>
      <c r="AL247" s="547"/>
      <c r="AM247" s="547"/>
      <c r="AN247" s="547"/>
      <c r="AO247" s="547"/>
      <c r="AP247" s="547"/>
      <c r="AQ247" s="547"/>
      <c r="AR247" s="547"/>
      <c r="AS247" s="547"/>
      <c r="AT247" s="547"/>
      <c r="AU247" s="547"/>
      <c r="AV247" s="547"/>
      <c r="AW247" s="547"/>
      <c r="AX247" s="547"/>
      <c r="AY247" s="547"/>
      <c r="AZ247" s="547"/>
      <c r="BA247" s="547"/>
      <c r="BB247" s="547"/>
      <c r="BC247" s="547"/>
      <c r="BD247" s="547"/>
      <c r="BE247" s="547"/>
      <c r="BF247" s="547"/>
      <c r="BG247" s="547"/>
      <c r="BH247" s="547"/>
      <c r="BI247" s="547"/>
      <c r="BJ247" s="547"/>
      <c r="BK247" s="547"/>
      <c r="BL247" s="547"/>
      <c r="BM247" s="547"/>
      <c r="BN247" s="547"/>
      <c r="BO247" s="547"/>
      <c r="BP247" s="547"/>
      <c r="BQ247" s="547"/>
      <c r="BR247" s="547"/>
      <c r="BS247" s="547"/>
      <c r="BT247" s="547"/>
      <c r="BU247" s="547"/>
      <c r="BV247" s="547"/>
      <c r="BW247" s="547"/>
      <c r="BX247" s="547"/>
      <c r="BY247" s="547"/>
      <c r="BZ247" s="547"/>
      <c r="CA247" s="547"/>
      <c r="CB247" s="547"/>
      <c r="CC247" s="547"/>
    </row>
    <row r="248" spans="1:81">
      <c r="A248" s="547"/>
      <c r="B248" s="547"/>
      <c r="C248" s="547"/>
      <c r="D248" s="547"/>
      <c r="E248" s="547"/>
      <c r="F248" s="547"/>
      <c r="G248" s="547"/>
      <c r="H248" s="547"/>
      <c r="I248" s="547"/>
      <c r="J248" s="547"/>
      <c r="K248" s="547"/>
      <c r="L248" s="547"/>
      <c r="M248" s="547"/>
      <c r="N248" s="547"/>
      <c r="O248" s="547"/>
      <c r="P248" s="547"/>
      <c r="Q248" s="547"/>
      <c r="R248" s="547"/>
      <c r="S248" s="547"/>
      <c r="T248" s="547"/>
      <c r="U248" s="547"/>
      <c r="V248" s="547"/>
      <c r="W248" s="547"/>
      <c r="X248" s="547"/>
      <c r="Y248" s="547"/>
      <c r="Z248" s="547"/>
      <c r="AA248" s="547"/>
      <c r="AB248" s="547"/>
      <c r="AC248" s="547"/>
      <c r="AD248" s="547"/>
      <c r="AE248" s="547"/>
      <c r="AF248" s="547"/>
      <c r="AG248" s="547"/>
      <c r="AH248" s="547"/>
      <c r="AI248" s="547"/>
      <c r="AJ248" s="547"/>
      <c r="AK248" s="547"/>
      <c r="AL248" s="547"/>
      <c r="AM248" s="547"/>
      <c r="AN248" s="547"/>
      <c r="AO248" s="547"/>
      <c r="AP248" s="547"/>
      <c r="AQ248" s="547"/>
      <c r="AR248" s="547"/>
      <c r="AS248" s="547"/>
      <c r="AT248" s="547"/>
      <c r="AU248" s="547"/>
      <c r="AV248" s="547"/>
      <c r="AW248" s="547"/>
      <c r="AX248" s="547"/>
      <c r="AY248" s="547"/>
      <c r="AZ248" s="547"/>
      <c r="BA248" s="547"/>
      <c r="BB248" s="547"/>
      <c r="BC248" s="547"/>
      <c r="BD248" s="547"/>
      <c r="BE248" s="547"/>
      <c r="BF248" s="547"/>
      <c r="BG248" s="547"/>
      <c r="BH248" s="547"/>
      <c r="BI248" s="547"/>
      <c r="BJ248" s="547"/>
      <c r="BK248" s="547"/>
      <c r="BL248" s="547"/>
      <c r="BM248" s="547"/>
      <c r="BN248" s="547"/>
      <c r="BO248" s="547"/>
      <c r="BP248" s="547"/>
      <c r="BQ248" s="547"/>
      <c r="BR248" s="547"/>
      <c r="BS248" s="547"/>
      <c r="BT248" s="547"/>
      <c r="BU248" s="547"/>
      <c r="BV248" s="547"/>
      <c r="BW248" s="547"/>
      <c r="BX248" s="547"/>
      <c r="BY248" s="547"/>
      <c r="BZ248" s="547"/>
      <c r="CA248" s="547"/>
      <c r="CB248" s="547"/>
      <c r="CC248" s="547"/>
    </row>
    <row r="249" spans="1:81">
      <c r="A249" s="547"/>
      <c r="B249" s="547"/>
      <c r="C249" s="547"/>
      <c r="D249" s="547"/>
      <c r="E249" s="547"/>
      <c r="F249" s="547"/>
      <c r="G249" s="547"/>
      <c r="H249" s="547"/>
      <c r="I249" s="547"/>
      <c r="J249" s="547"/>
      <c r="K249" s="547"/>
      <c r="L249" s="547"/>
      <c r="M249" s="547"/>
      <c r="N249" s="547"/>
      <c r="O249" s="547"/>
      <c r="P249" s="547"/>
      <c r="Q249" s="547"/>
      <c r="R249" s="547"/>
      <c r="S249" s="547"/>
      <c r="T249" s="547"/>
      <c r="U249" s="547"/>
      <c r="V249" s="547"/>
      <c r="W249" s="547"/>
      <c r="X249" s="547"/>
      <c r="Y249" s="547"/>
      <c r="Z249" s="547"/>
      <c r="AA249" s="547"/>
      <c r="AB249" s="547"/>
      <c r="AC249" s="547"/>
      <c r="AD249" s="547"/>
      <c r="AE249" s="547"/>
      <c r="AF249" s="547"/>
      <c r="AG249" s="547"/>
      <c r="AH249" s="547"/>
      <c r="AI249" s="547"/>
      <c r="AJ249" s="547"/>
      <c r="AK249" s="547"/>
      <c r="AL249" s="547"/>
      <c r="AM249" s="547"/>
      <c r="AN249" s="547"/>
      <c r="AO249" s="547"/>
      <c r="AP249" s="547"/>
      <c r="AQ249" s="547"/>
      <c r="AR249" s="547"/>
      <c r="AS249" s="547"/>
      <c r="AT249" s="547"/>
      <c r="AU249" s="547"/>
      <c r="AV249" s="547"/>
      <c r="AW249" s="547"/>
      <c r="AX249" s="547"/>
      <c r="AY249" s="547"/>
      <c r="AZ249" s="547"/>
      <c r="BA249" s="547"/>
      <c r="BB249" s="547"/>
      <c r="BC249" s="547"/>
      <c r="BD249" s="547"/>
      <c r="BE249" s="547"/>
      <c r="BF249" s="547"/>
      <c r="BG249" s="547"/>
      <c r="BH249" s="547"/>
      <c r="BI249" s="547"/>
      <c r="BJ249" s="547"/>
      <c r="BK249" s="547"/>
      <c r="BL249" s="547"/>
      <c r="BM249" s="547"/>
      <c r="BN249" s="547"/>
      <c r="BO249" s="547"/>
      <c r="BP249" s="547"/>
      <c r="BQ249" s="547"/>
      <c r="BR249" s="547"/>
      <c r="BS249" s="547"/>
      <c r="BT249" s="547"/>
      <c r="BU249" s="547"/>
      <c r="BV249" s="547"/>
      <c r="BW249" s="547"/>
      <c r="BX249" s="547"/>
      <c r="BY249" s="547"/>
      <c r="BZ249" s="547"/>
      <c r="CA249" s="547"/>
      <c r="CB249" s="547"/>
      <c r="CC249" s="547"/>
    </row>
    <row r="250" spans="1:81">
      <c r="A250" s="547"/>
      <c r="B250" s="547"/>
      <c r="C250" s="547"/>
      <c r="D250" s="547"/>
      <c r="E250" s="547"/>
      <c r="F250" s="547"/>
      <c r="G250" s="547"/>
      <c r="H250" s="547"/>
      <c r="I250" s="547"/>
      <c r="J250" s="547"/>
      <c r="K250" s="547"/>
      <c r="L250" s="547"/>
      <c r="M250" s="547"/>
      <c r="N250" s="547"/>
      <c r="O250" s="547"/>
      <c r="P250" s="547"/>
      <c r="Q250" s="547"/>
      <c r="R250" s="547"/>
      <c r="S250" s="547"/>
      <c r="T250" s="547"/>
      <c r="U250" s="547"/>
      <c r="V250" s="547"/>
      <c r="W250" s="547"/>
      <c r="X250" s="547"/>
      <c r="Y250" s="547"/>
      <c r="Z250" s="547"/>
      <c r="AA250" s="547"/>
      <c r="AB250" s="547"/>
      <c r="AC250" s="547"/>
      <c r="AD250" s="547"/>
      <c r="AE250" s="547"/>
      <c r="AF250" s="547"/>
      <c r="AG250" s="547"/>
      <c r="AH250" s="547"/>
      <c r="AI250" s="547"/>
      <c r="AJ250" s="547"/>
      <c r="AK250" s="547"/>
      <c r="AL250" s="547"/>
      <c r="AM250" s="547"/>
      <c r="AN250" s="547"/>
      <c r="AO250" s="547"/>
      <c r="AP250" s="547"/>
      <c r="AQ250" s="547"/>
      <c r="AR250" s="547"/>
      <c r="AS250" s="547"/>
      <c r="AT250" s="547"/>
      <c r="AU250" s="547"/>
      <c r="AV250" s="547"/>
      <c r="AW250" s="547"/>
      <c r="AX250" s="547"/>
      <c r="AY250" s="547"/>
      <c r="AZ250" s="547"/>
      <c r="BA250" s="547"/>
      <c r="BB250" s="547"/>
      <c r="BC250" s="547"/>
      <c r="BD250" s="547"/>
      <c r="BE250" s="547"/>
      <c r="BF250" s="547"/>
      <c r="BG250" s="547"/>
      <c r="BH250" s="547"/>
      <c r="BI250" s="547"/>
      <c r="BJ250" s="547"/>
      <c r="BK250" s="547"/>
      <c r="BL250" s="547"/>
      <c r="BM250" s="547"/>
      <c r="BN250" s="547"/>
      <c r="BO250" s="547"/>
      <c r="BP250" s="547"/>
      <c r="BQ250" s="547"/>
      <c r="BR250" s="547"/>
      <c r="BS250" s="547"/>
      <c r="BT250" s="547"/>
      <c r="BU250" s="547"/>
      <c r="BV250" s="547"/>
      <c r="BW250" s="547"/>
      <c r="BX250" s="547"/>
      <c r="BY250" s="547"/>
      <c r="BZ250" s="547"/>
      <c r="CA250" s="547"/>
      <c r="CB250" s="547"/>
      <c r="CC250" s="547"/>
    </row>
    <row r="251" spans="1:81">
      <c r="A251" s="547"/>
      <c r="B251" s="547"/>
      <c r="C251" s="547"/>
      <c r="D251" s="547"/>
      <c r="E251" s="547"/>
      <c r="F251" s="547"/>
      <c r="G251" s="547"/>
      <c r="H251" s="547"/>
      <c r="I251" s="547"/>
      <c r="J251" s="547"/>
      <c r="K251" s="547"/>
      <c r="L251" s="547"/>
      <c r="M251" s="547"/>
      <c r="N251" s="547"/>
      <c r="O251" s="547"/>
      <c r="P251" s="547"/>
      <c r="Q251" s="547"/>
      <c r="R251" s="547"/>
      <c r="S251" s="547"/>
      <c r="T251" s="547"/>
      <c r="U251" s="547"/>
      <c r="V251" s="547"/>
      <c r="W251" s="547"/>
      <c r="X251" s="547"/>
      <c r="Y251" s="547"/>
      <c r="Z251" s="547"/>
      <c r="AA251" s="547"/>
      <c r="AB251" s="547"/>
      <c r="AC251" s="547"/>
      <c r="AD251" s="547"/>
      <c r="AE251" s="547"/>
      <c r="AF251" s="547"/>
      <c r="AG251" s="547"/>
      <c r="AH251" s="547"/>
      <c r="AI251" s="547"/>
      <c r="AJ251" s="547"/>
      <c r="AK251" s="547"/>
      <c r="AL251" s="547"/>
      <c r="AM251" s="547"/>
      <c r="AN251" s="547"/>
      <c r="AO251" s="547"/>
      <c r="AP251" s="547"/>
      <c r="AQ251" s="547"/>
      <c r="AR251" s="547"/>
      <c r="AS251" s="547"/>
      <c r="AT251" s="547"/>
      <c r="AU251" s="547"/>
      <c r="AV251" s="547"/>
      <c r="AW251" s="547"/>
      <c r="AX251" s="547"/>
      <c r="AY251" s="547"/>
      <c r="AZ251" s="547"/>
      <c r="BA251" s="547"/>
      <c r="BB251" s="547"/>
      <c r="BC251" s="547"/>
      <c r="BD251" s="547"/>
      <c r="BE251" s="547"/>
      <c r="BF251" s="547"/>
      <c r="BG251" s="547"/>
      <c r="BH251" s="547"/>
      <c r="BI251" s="547"/>
      <c r="BJ251" s="547"/>
      <c r="BK251" s="547"/>
      <c r="BL251" s="547"/>
      <c r="BM251" s="547"/>
      <c r="BN251" s="547"/>
      <c r="BO251" s="547"/>
      <c r="BP251" s="547"/>
      <c r="BQ251" s="547"/>
      <c r="BR251" s="547"/>
      <c r="BS251" s="547"/>
      <c r="BT251" s="547"/>
      <c r="BU251" s="547"/>
      <c r="BV251" s="547"/>
      <c r="BW251" s="547"/>
      <c r="BX251" s="547"/>
      <c r="BY251" s="547"/>
      <c r="BZ251" s="547"/>
      <c r="CA251" s="547"/>
      <c r="CB251" s="547"/>
      <c r="CC251" s="547"/>
    </row>
    <row r="252" spans="1:81">
      <c r="A252" s="547"/>
      <c r="B252" s="547"/>
      <c r="C252" s="547"/>
      <c r="D252" s="547"/>
      <c r="E252" s="547"/>
      <c r="F252" s="547"/>
      <c r="G252" s="547"/>
      <c r="H252" s="547"/>
      <c r="I252" s="547"/>
      <c r="J252" s="547"/>
      <c r="K252" s="547"/>
      <c r="L252" s="547"/>
      <c r="M252" s="547"/>
      <c r="N252" s="547"/>
      <c r="O252" s="547"/>
      <c r="P252" s="547"/>
      <c r="Q252" s="547"/>
      <c r="R252" s="547"/>
      <c r="S252" s="547"/>
      <c r="T252" s="547"/>
      <c r="U252" s="547"/>
      <c r="V252" s="547"/>
      <c r="W252" s="547"/>
      <c r="X252" s="547"/>
      <c r="Y252" s="547"/>
      <c r="Z252" s="547"/>
      <c r="AA252" s="547"/>
      <c r="AB252" s="547"/>
      <c r="AC252" s="547"/>
      <c r="AD252" s="547"/>
      <c r="AE252" s="547"/>
      <c r="AF252" s="547"/>
      <c r="AG252" s="547"/>
      <c r="AH252" s="547"/>
      <c r="AI252" s="547"/>
      <c r="AJ252" s="547"/>
      <c r="AK252" s="547"/>
      <c r="AL252" s="547"/>
      <c r="AM252" s="547"/>
      <c r="AN252" s="547"/>
      <c r="AO252" s="547"/>
      <c r="AP252" s="547"/>
      <c r="AQ252" s="547"/>
      <c r="AR252" s="547"/>
      <c r="AS252" s="547"/>
      <c r="AT252" s="547"/>
      <c r="AU252" s="547"/>
      <c r="AV252" s="547"/>
      <c r="AW252" s="547"/>
      <c r="AX252" s="547"/>
      <c r="AY252" s="547"/>
      <c r="AZ252" s="547"/>
      <c r="BA252" s="547"/>
      <c r="BB252" s="547"/>
      <c r="BC252" s="547"/>
      <c r="BD252" s="547"/>
      <c r="BE252" s="547"/>
      <c r="BF252" s="547"/>
      <c r="BG252" s="547"/>
      <c r="BH252" s="547"/>
      <c r="BI252" s="547"/>
      <c r="BJ252" s="547"/>
      <c r="BK252" s="547"/>
      <c r="BL252" s="547"/>
      <c r="BM252" s="547"/>
      <c r="BN252" s="547"/>
      <c r="BO252" s="547"/>
      <c r="BP252" s="547"/>
      <c r="BQ252" s="547"/>
      <c r="BR252" s="547"/>
      <c r="BS252" s="547"/>
      <c r="BT252" s="547"/>
      <c r="BU252" s="547"/>
      <c r="BV252" s="547"/>
      <c r="BW252" s="547"/>
      <c r="BX252" s="547"/>
      <c r="BY252" s="547"/>
      <c r="BZ252" s="547"/>
      <c r="CA252" s="547"/>
      <c r="CB252" s="547"/>
      <c r="CC252" s="547"/>
    </row>
    <row r="253" spans="1:81">
      <c r="A253" s="547"/>
      <c r="B253" s="547"/>
      <c r="C253" s="547"/>
      <c r="D253" s="547"/>
      <c r="E253" s="547"/>
      <c r="F253" s="547"/>
      <c r="G253" s="547"/>
      <c r="H253" s="547"/>
      <c r="I253" s="547"/>
      <c r="J253" s="547"/>
      <c r="K253" s="547"/>
      <c r="L253" s="547"/>
      <c r="M253" s="547"/>
      <c r="N253" s="547"/>
      <c r="O253" s="547"/>
      <c r="P253" s="547"/>
      <c r="Q253" s="547"/>
      <c r="R253" s="547"/>
      <c r="S253" s="547"/>
      <c r="T253" s="547"/>
      <c r="U253" s="547"/>
      <c r="V253" s="547"/>
      <c r="W253" s="547"/>
      <c r="X253" s="547"/>
      <c r="Y253" s="547"/>
      <c r="Z253" s="547"/>
      <c r="AA253" s="547"/>
      <c r="AB253" s="547"/>
      <c r="AC253" s="547"/>
      <c r="AD253" s="547"/>
      <c r="AE253" s="547"/>
      <c r="AF253" s="547"/>
      <c r="AG253" s="547"/>
      <c r="AH253" s="547"/>
      <c r="AI253" s="547"/>
      <c r="AJ253" s="547"/>
      <c r="AK253" s="547"/>
      <c r="AL253" s="547"/>
      <c r="AM253" s="547"/>
      <c r="AN253" s="547"/>
      <c r="AO253" s="547"/>
      <c r="AP253" s="547"/>
      <c r="AQ253" s="547"/>
      <c r="AR253" s="547"/>
      <c r="AS253" s="547"/>
      <c r="AT253" s="547"/>
      <c r="AU253" s="547"/>
      <c r="AV253" s="547"/>
      <c r="AW253" s="547"/>
      <c r="AX253" s="547"/>
      <c r="AY253" s="547"/>
      <c r="AZ253" s="547"/>
      <c r="BA253" s="547"/>
      <c r="BB253" s="547"/>
      <c r="BC253" s="547"/>
      <c r="BD253" s="547"/>
      <c r="BE253" s="547"/>
      <c r="BF253" s="547"/>
      <c r="BG253" s="547"/>
      <c r="BH253" s="547"/>
      <c r="BI253" s="547"/>
      <c r="BJ253" s="547"/>
      <c r="BK253" s="547"/>
      <c r="BL253" s="547"/>
      <c r="BM253" s="547"/>
      <c r="BN253" s="547"/>
      <c r="BO253" s="547"/>
      <c r="BP253" s="547"/>
      <c r="BQ253" s="547"/>
      <c r="BR253" s="547"/>
      <c r="BS253" s="547"/>
      <c r="BT253" s="547"/>
      <c r="BU253" s="547"/>
      <c r="BV253" s="547"/>
      <c r="BW253" s="547"/>
      <c r="BX253" s="547"/>
      <c r="BY253" s="547"/>
      <c r="BZ253" s="547"/>
      <c r="CA253" s="547"/>
      <c r="CB253" s="547"/>
      <c r="CC253" s="547"/>
    </row>
    <row r="254" spans="1:81">
      <c r="A254" s="547"/>
      <c r="B254" s="547"/>
      <c r="C254" s="547"/>
      <c r="D254" s="547"/>
      <c r="E254" s="547"/>
      <c r="F254" s="547"/>
      <c r="G254" s="547"/>
      <c r="H254" s="547"/>
      <c r="I254" s="547"/>
      <c r="J254" s="547"/>
      <c r="K254" s="547"/>
      <c r="L254" s="547"/>
      <c r="M254" s="547"/>
      <c r="N254" s="547"/>
      <c r="O254" s="547"/>
      <c r="P254" s="547"/>
      <c r="Q254" s="547"/>
      <c r="R254" s="547"/>
      <c r="S254" s="547"/>
      <c r="T254" s="547"/>
      <c r="U254" s="547"/>
      <c r="V254" s="547"/>
      <c r="W254" s="547"/>
      <c r="X254" s="547"/>
      <c r="Y254" s="547"/>
      <c r="Z254" s="547"/>
      <c r="AA254" s="547"/>
      <c r="AB254" s="547"/>
      <c r="AC254" s="547"/>
      <c r="AD254" s="547"/>
      <c r="AE254" s="547"/>
      <c r="AF254" s="547"/>
      <c r="AG254" s="547"/>
      <c r="AH254" s="547"/>
      <c r="AI254" s="547"/>
      <c r="AJ254" s="547"/>
      <c r="AK254" s="547"/>
      <c r="AL254" s="547"/>
      <c r="AM254" s="547"/>
      <c r="AN254" s="547"/>
      <c r="AO254" s="547"/>
      <c r="AP254" s="547"/>
      <c r="AQ254" s="547"/>
      <c r="AR254" s="547"/>
      <c r="AS254" s="547"/>
      <c r="AT254" s="547"/>
      <c r="AU254" s="547"/>
      <c r="AV254" s="547"/>
      <c r="AW254" s="547"/>
      <c r="AX254" s="547"/>
      <c r="AY254" s="547"/>
      <c r="AZ254" s="547"/>
      <c r="BA254" s="547"/>
      <c r="BB254" s="547"/>
      <c r="BC254" s="547"/>
      <c r="BD254" s="547"/>
      <c r="BE254" s="547"/>
      <c r="BF254" s="547"/>
      <c r="BG254" s="547"/>
      <c r="BH254" s="547"/>
      <c r="BI254" s="547"/>
      <c r="BJ254" s="547"/>
      <c r="BK254" s="547"/>
      <c r="BL254" s="547"/>
      <c r="BM254" s="547"/>
      <c r="BN254" s="547"/>
      <c r="BO254" s="547"/>
      <c r="BP254" s="547"/>
      <c r="BQ254" s="547"/>
      <c r="BR254" s="547"/>
      <c r="BS254" s="547"/>
      <c r="BT254" s="547"/>
      <c r="BU254" s="547"/>
      <c r="BV254" s="547"/>
      <c r="BW254" s="547"/>
      <c r="BX254" s="547"/>
      <c r="BY254" s="547"/>
      <c r="BZ254" s="547"/>
      <c r="CA254" s="547"/>
      <c r="CB254" s="547"/>
      <c r="CC254" s="547"/>
    </row>
    <row r="255" spans="1:81">
      <c r="A255" s="547"/>
      <c r="B255" s="547"/>
      <c r="C255" s="547"/>
      <c r="D255" s="547"/>
      <c r="E255" s="547"/>
      <c r="F255" s="547"/>
      <c r="G255" s="547"/>
      <c r="H255" s="547"/>
      <c r="I255" s="547"/>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547"/>
      <c r="AF255" s="547"/>
      <c r="AG255" s="547"/>
      <c r="AH255" s="547"/>
      <c r="AI255" s="547"/>
      <c r="AJ255" s="547"/>
      <c r="AK255" s="547"/>
      <c r="AL255" s="547"/>
      <c r="AM255" s="547"/>
      <c r="AN255" s="547"/>
      <c r="AO255" s="547"/>
      <c r="AP255" s="547"/>
      <c r="AQ255" s="547"/>
      <c r="AR255" s="547"/>
      <c r="AS255" s="547"/>
      <c r="AT255" s="547"/>
      <c r="AU255" s="547"/>
      <c r="AV255" s="547"/>
      <c r="AW255" s="547"/>
      <c r="AX255" s="547"/>
      <c r="AY255" s="547"/>
      <c r="AZ255" s="547"/>
      <c r="BA255" s="547"/>
      <c r="BB255" s="547"/>
      <c r="BC255" s="547"/>
      <c r="BD255" s="547"/>
      <c r="BE255" s="547"/>
      <c r="BF255" s="547"/>
      <c r="BG255" s="547"/>
      <c r="BH255" s="547"/>
      <c r="BI255" s="547"/>
      <c r="BJ255" s="547"/>
      <c r="BK255" s="547"/>
      <c r="BL255" s="547"/>
      <c r="BM255" s="547"/>
      <c r="BN255" s="547"/>
      <c r="BO255" s="547"/>
      <c r="BP255" s="547"/>
      <c r="BQ255" s="547"/>
      <c r="BR255" s="547"/>
      <c r="BS255" s="547"/>
      <c r="BT255" s="547"/>
      <c r="BU255" s="547"/>
      <c r="BV255" s="547"/>
      <c r="BW255" s="547"/>
      <c r="BX255" s="547"/>
      <c r="BY255" s="547"/>
      <c r="BZ255" s="547"/>
      <c r="CA255" s="547"/>
      <c r="CB255" s="547"/>
      <c r="CC255" s="547"/>
    </row>
    <row r="256" spans="1:81">
      <c r="A256" s="547"/>
      <c r="B256" s="547"/>
      <c r="C256" s="547"/>
      <c r="D256" s="547"/>
      <c r="E256" s="547"/>
      <c r="F256" s="547"/>
      <c r="G256" s="547"/>
      <c r="H256" s="547"/>
      <c r="I256" s="547"/>
      <c r="J256" s="547"/>
      <c r="K256" s="547"/>
      <c r="L256" s="547"/>
      <c r="M256" s="547"/>
      <c r="N256" s="547"/>
      <c r="O256" s="547"/>
      <c r="P256" s="547"/>
      <c r="Q256" s="547"/>
      <c r="R256" s="547"/>
      <c r="S256" s="547"/>
      <c r="T256" s="547"/>
      <c r="U256" s="547"/>
      <c r="V256" s="547"/>
      <c r="W256" s="547"/>
      <c r="X256" s="547"/>
      <c r="Y256" s="547"/>
      <c r="Z256" s="547"/>
      <c r="AA256" s="547"/>
      <c r="AB256" s="547"/>
      <c r="AC256" s="547"/>
      <c r="AD256" s="547"/>
      <c r="AE256" s="547"/>
      <c r="AF256" s="547"/>
      <c r="AG256" s="547"/>
      <c r="AH256" s="547"/>
      <c r="AI256" s="547"/>
      <c r="AJ256" s="547"/>
      <c r="AK256" s="547"/>
      <c r="AL256" s="547"/>
      <c r="AM256" s="547"/>
      <c r="AN256" s="547"/>
      <c r="AO256" s="547"/>
      <c r="AP256" s="547"/>
      <c r="AQ256" s="547"/>
      <c r="AR256" s="547"/>
      <c r="AS256" s="547"/>
      <c r="AT256" s="547"/>
      <c r="AU256" s="547"/>
      <c r="AV256" s="547"/>
      <c r="AW256" s="547"/>
      <c r="AX256" s="547"/>
      <c r="AY256" s="547"/>
      <c r="AZ256" s="547"/>
      <c r="BA256" s="547"/>
      <c r="BB256" s="547"/>
      <c r="BC256" s="547"/>
      <c r="BD256" s="547"/>
      <c r="BE256" s="547"/>
      <c r="BF256" s="547"/>
      <c r="BG256" s="547"/>
      <c r="BH256" s="547"/>
      <c r="BI256" s="547"/>
      <c r="BJ256" s="547"/>
      <c r="BK256" s="547"/>
      <c r="BL256" s="547"/>
      <c r="BM256" s="547"/>
      <c r="BN256" s="547"/>
      <c r="BO256" s="547"/>
      <c r="BP256" s="547"/>
      <c r="BQ256" s="547"/>
      <c r="BR256" s="547"/>
      <c r="BS256" s="547"/>
      <c r="BT256" s="547"/>
      <c r="BU256" s="547"/>
      <c r="BV256" s="547"/>
      <c r="BW256" s="547"/>
      <c r="BX256" s="547"/>
      <c r="BY256" s="547"/>
      <c r="BZ256" s="547"/>
      <c r="CA256" s="547"/>
      <c r="CB256" s="547"/>
      <c r="CC256" s="547"/>
    </row>
    <row r="257" spans="1:81">
      <c r="A257" s="547"/>
      <c r="B257" s="547"/>
      <c r="C257" s="547"/>
      <c r="D257" s="547"/>
      <c r="E257" s="547"/>
      <c r="F257" s="547"/>
      <c r="G257" s="547"/>
      <c r="H257" s="547"/>
      <c r="I257" s="547"/>
      <c r="J257" s="547"/>
      <c r="K257" s="547"/>
      <c r="L257" s="547"/>
      <c r="M257" s="547"/>
      <c r="N257" s="547"/>
      <c r="O257" s="547"/>
      <c r="P257" s="547"/>
      <c r="Q257" s="547"/>
      <c r="R257" s="547"/>
      <c r="S257" s="547"/>
      <c r="T257" s="547"/>
      <c r="U257" s="547"/>
      <c r="V257" s="547"/>
      <c r="W257" s="547"/>
      <c r="X257" s="547"/>
      <c r="Y257" s="547"/>
      <c r="Z257" s="547"/>
      <c r="AA257" s="547"/>
      <c r="AB257" s="547"/>
      <c r="AC257" s="547"/>
      <c r="AD257" s="547"/>
      <c r="AE257" s="547"/>
      <c r="AF257" s="547"/>
      <c r="AG257" s="547"/>
      <c r="AH257" s="547"/>
      <c r="AI257" s="547"/>
      <c r="AJ257" s="547"/>
      <c r="AK257" s="547"/>
      <c r="AL257" s="547"/>
      <c r="AM257" s="547"/>
      <c r="AN257" s="547"/>
      <c r="AO257" s="547"/>
      <c r="AP257" s="547"/>
      <c r="AQ257" s="547"/>
      <c r="AR257" s="547"/>
      <c r="AS257" s="547"/>
      <c r="AT257" s="547"/>
      <c r="AU257" s="547"/>
      <c r="AV257" s="547"/>
      <c r="AW257" s="547"/>
      <c r="AX257" s="547"/>
      <c r="AY257" s="547"/>
      <c r="AZ257" s="547"/>
      <c r="BA257" s="547"/>
      <c r="BB257" s="547"/>
      <c r="BC257" s="547"/>
      <c r="BD257" s="547"/>
      <c r="BE257" s="547"/>
      <c r="BF257" s="547"/>
      <c r="BG257" s="547"/>
      <c r="BH257" s="547"/>
      <c r="BI257" s="547"/>
      <c r="BJ257" s="547"/>
      <c r="BK257" s="547"/>
      <c r="BL257" s="547"/>
      <c r="BM257" s="547"/>
      <c r="BN257" s="547"/>
      <c r="BO257" s="547"/>
      <c r="BP257" s="547"/>
      <c r="BQ257" s="547"/>
      <c r="BR257" s="547"/>
      <c r="BS257" s="547"/>
      <c r="BT257" s="547"/>
      <c r="BU257" s="547"/>
      <c r="BV257" s="547"/>
      <c r="BW257" s="547"/>
      <c r="BX257" s="547"/>
      <c r="BY257" s="547"/>
      <c r="BZ257" s="547"/>
      <c r="CA257" s="547"/>
      <c r="CB257" s="547"/>
      <c r="CC257" s="547"/>
    </row>
    <row r="258" spans="1:81">
      <c r="A258" s="547"/>
      <c r="B258" s="547"/>
      <c r="C258" s="547"/>
      <c r="D258" s="547"/>
      <c r="E258" s="547"/>
      <c r="F258" s="547"/>
      <c r="G258" s="547"/>
      <c r="H258" s="547"/>
      <c r="I258" s="547"/>
      <c r="J258" s="547"/>
      <c r="K258" s="547"/>
      <c r="L258" s="547"/>
      <c r="M258" s="547"/>
      <c r="N258" s="547"/>
      <c r="O258" s="547"/>
      <c r="P258" s="547"/>
      <c r="Q258" s="547"/>
      <c r="R258" s="547"/>
      <c r="S258" s="547"/>
      <c r="T258" s="547"/>
      <c r="U258" s="547"/>
      <c r="V258" s="547"/>
      <c r="W258" s="547"/>
      <c r="X258" s="547"/>
      <c r="Y258" s="547"/>
      <c r="Z258" s="547"/>
      <c r="AA258" s="547"/>
      <c r="AB258" s="547"/>
      <c r="AC258" s="547"/>
      <c r="AD258" s="547"/>
      <c r="AE258" s="547"/>
      <c r="AF258" s="547"/>
      <c r="AG258" s="547"/>
      <c r="AH258" s="547"/>
      <c r="AI258" s="547"/>
      <c r="AJ258" s="547"/>
      <c r="AK258" s="547"/>
      <c r="AL258" s="547"/>
      <c r="AM258" s="547"/>
      <c r="AN258" s="547"/>
      <c r="AO258" s="547"/>
      <c r="AP258" s="547"/>
      <c r="AQ258" s="547"/>
      <c r="AR258" s="547"/>
      <c r="AS258" s="547"/>
      <c r="AT258" s="547"/>
      <c r="AU258" s="547"/>
      <c r="AV258" s="547"/>
      <c r="AW258" s="547"/>
      <c r="AX258" s="547"/>
      <c r="AY258" s="547"/>
      <c r="AZ258" s="547"/>
      <c r="BA258" s="547"/>
      <c r="BB258" s="547"/>
      <c r="BC258" s="547"/>
      <c r="BD258" s="547"/>
      <c r="BE258" s="547"/>
      <c r="BF258" s="547"/>
      <c r="BG258" s="547"/>
      <c r="BH258" s="547"/>
      <c r="BI258" s="547"/>
      <c r="BJ258" s="547"/>
      <c r="BK258" s="547"/>
      <c r="BL258" s="547"/>
      <c r="BM258" s="547"/>
      <c r="BN258" s="547"/>
      <c r="BO258" s="547"/>
      <c r="BP258" s="547"/>
      <c r="BQ258" s="547"/>
      <c r="BR258" s="547"/>
      <c r="BS258" s="547"/>
      <c r="BT258" s="547"/>
      <c r="BU258" s="547"/>
      <c r="BV258" s="547"/>
      <c r="BW258" s="547"/>
      <c r="BX258" s="547"/>
      <c r="BY258" s="547"/>
      <c r="BZ258" s="547"/>
      <c r="CA258" s="547"/>
      <c r="CB258" s="547"/>
      <c r="CC258" s="547"/>
    </row>
    <row r="259" spans="1:81">
      <c r="A259" s="547"/>
      <c r="B259" s="547"/>
      <c r="C259" s="547"/>
      <c r="D259" s="547"/>
      <c r="E259" s="547"/>
      <c r="F259" s="547"/>
      <c r="G259" s="547"/>
      <c r="H259" s="547"/>
      <c r="I259" s="547"/>
      <c r="J259" s="547"/>
      <c r="K259" s="547"/>
      <c r="L259" s="547"/>
      <c r="M259" s="547"/>
      <c r="N259" s="547"/>
      <c r="O259" s="547"/>
      <c r="P259" s="547"/>
      <c r="Q259" s="547"/>
      <c r="R259" s="547"/>
      <c r="S259" s="547"/>
      <c r="T259" s="547"/>
      <c r="U259" s="547"/>
      <c r="V259" s="547"/>
      <c r="W259" s="547"/>
      <c r="X259" s="547"/>
      <c r="Y259" s="547"/>
      <c r="Z259" s="547"/>
      <c r="AA259" s="547"/>
      <c r="AB259" s="547"/>
      <c r="AC259" s="547"/>
      <c r="AD259" s="547"/>
      <c r="AE259" s="547"/>
      <c r="AF259" s="547"/>
      <c r="AG259" s="547"/>
      <c r="AH259" s="547"/>
      <c r="AI259" s="547"/>
      <c r="AJ259" s="547"/>
      <c r="AK259" s="547"/>
      <c r="AL259" s="547"/>
      <c r="AM259" s="547"/>
      <c r="AN259" s="547"/>
      <c r="AO259" s="547"/>
      <c r="AP259" s="547"/>
      <c r="AQ259" s="547"/>
      <c r="AR259" s="547"/>
      <c r="AS259" s="547"/>
      <c r="AT259" s="547"/>
      <c r="AU259" s="547"/>
      <c r="AV259" s="547"/>
      <c r="AW259" s="547"/>
      <c r="AX259" s="547"/>
      <c r="AY259" s="547"/>
      <c r="AZ259" s="547"/>
      <c r="BA259" s="547"/>
      <c r="BB259" s="547"/>
      <c r="BC259" s="547"/>
      <c r="BD259" s="547"/>
      <c r="BE259" s="547"/>
      <c r="BF259" s="547"/>
      <c r="BG259" s="547"/>
      <c r="BH259" s="547"/>
      <c r="BI259" s="547"/>
      <c r="BJ259" s="547"/>
      <c r="BK259" s="547"/>
      <c r="BL259" s="547"/>
      <c r="BM259" s="547"/>
      <c r="BN259" s="547"/>
      <c r="BO259" s="547"/>
      <c r="BP259" s="547"/>
      <c r="BQ259" s="547"/>
      <c r="BR259" s="547"/>
      <c r="BS259" s="547"/>
      <c r="BT259" s="547"/>
      <c r="BU259" s="547"/>
      <c r="BV259" s="547"/>
      <c r="BW259" s="547"/>
      <c r="BX259" s="547"/>
      <c r="BY259" s="547"/>
      <c r="BZ259" s="547"/>
      <c r="CA259" s="547"/>
      <c r="CB259" s="547"/>
      <c r="CC259" s="547"/>
    </row>
    <row r="260" spans="1:81">
      <c r="A260" s="547"/>
      <c r="B260" s="547"/>
      <c r="C260" s="547"/>
      <c r="D260" s="547"/>
      <c r="E260" s="547"/>
      <c r="F260" s="547"/>
      <c r="G260" s="547"/>
      <c r="H260" s="547"/>
      <c r="I260" s="547"/>
      <c r="J260" s="547"/>
      <c r="K260" s="547"/>
      <c r="L260" s="547"/>
      <c r="M260" s="547"/>
      <c r="N260" s="547"/>
      <c r="O260" s="547"/>
      <c r="P260" s="547"/>
      <c r="Q260" s="547"/>
      <c r="R260" s="547"/>
      <c r="S260" s="547"/>
      <c r="T260" s="547"/>
      <c r="U260" s="547"/>
      <c r="V260" s="547"/>
      <c r="W260" s="547"/>
      <c r="X260" s="547"/>
      <c r="Y260" s="547"/>
      <c r="Z260" s="547"/>
      <c r="AA260" s="547"/>
      <c r="AB260" s="547"/>
      <c r="AC260" s="547"/>
      <c r="AD260" s="547"/>
      <c r="AE260" s="547"/>
      <c r="AF260" s="547"/>
      <c r="AG260" s="547"/>
      <c r="AH260" s="547"/>
      <c r="AI260" s="547"/>
      <c r="AJ260" s="547"/>
      <c r="AK260" s="547"/>
      <c r="AL260" s="547"/>
      <c r="AM260" s="547"/>
      <c r="AN260" s="547"/>
      <c r="AO260" s="547"/>
      <c r="AP260" s="547"/>
      <c r="AQ260" s="547"/>
      <c r="AR260" s="547"/>
      <c r="AS260" s="547"/>
      <c r="AT260" s="547"/>
      <c r="AU260" s="547"/>
      <c r="AV260" s="547"/>
      <c r="AW260" s="547"/>
      <c r="AX260" s="547"/>
      <c r="AY260" s="547"/>
      <c r="AZ260" s="547"/>
      <c r="BA260" s="547"/>
      <c r="BB260" s="547"/>
      <c r="BC260" s="547"/>
      <c r="BD260" s="547"/>
      <c r="BE260" s="547"/>
      <c r="BF260" s="547"/>
      <c r="BG260" s="547"/>
      <c r="BH260" s="547"/>
      <c r="BI260" s="547"/>
      <c r="BJ260" s="547"/>
      <c r="BK260" s="547"/>
      <c r="BL260" s="547"/>
      <c r="BM260" s="547"/>
      <c r="BN260" s="547"/>
      <c r="BO260" s="547"/>
      <c r="BP260" s="547"/>
      <c r="BQ260" s="547"/>
      <c r="BR260" s="547"/>
      <c r="BS260" s="547"/>
      <c r="BT260" s="547"/>
      <c r="BU260" s="547"/>
      <c r="BV260" s="547"/>
      <c r="BW260" s="547"/>
      <c r="BX260" s="547"/>
      <c r="BY260" s="547"/>
      <c r="BZ260" s="547"/>
      <c r="CA260" s="547"/>
      <c r="CB260" s="547"/>
      <c r="CC260" s="547"/>
    </row>
    <row r="261" spans="1:81">
      <c r="A261" s="547"/>
      <c r="B261" s="547"/>
      <c r="C261" s="547"/>
      <c r="D261" s="547"/>
      <c r="E261" s="547"/>
      <c r="F261" s="547"/>
      <c r="G261" s="547"/>
      <c r="H261" s="547"/>
      <c r="I261" s="547"/>
      <c r="J261" s="547"/>
      <c r="K261" s="547"/>
      <c r="L261" s="547"/>
      <c r="M261" s="547"/>
      <c r="N261" s="547"/>
      <c r="O261" s="547"/>
      <c r="P261" s="547"/>
      <c r="Q261" s="547"/>
      <c r="R261" s="547"/>
      <c r="S261" s="547"/>
      <c r="T261" s="547"/>
      <c r="U261" s="547"/>
      <c r="V261" s="547"/>
      <c r="W261" s="547"/>
      <c r="X261" s="547"/>
      <c r="Y261" s="547"/>
      <c r="Z261" s="547"/>
      <c r="AA261" s="547"/>
      <c r="AB261" s="547"/>
      <c r="AC261" s="547"/>
      <c r="AD261" s="547"/>
      <c r="AE261" s="547"/>
      <c r="AF261" s="547"/>
      <c r="AG261" s="547"/>
      <c r="AH261" s="547"/>
      <c r="AI261" s="547"/>
      <c r="AJ261" s="547"/>
      <c r="AK261" s="547"/>
      <c r="AL261" s="547"/>
      <c r="AM261" s="547"/>
      <c r="AN261" s="547"/>
      <c r="AO261" s="547"/>
      <c r="AP261" s="547"/>
      <c r="AQ261" s="547"/>
      <c r="AR261" s="547"/>
      <c r="AS261" s="547"/>
      <c r="AT261" s="547"/>
      <c r="AU261" s="547"/>
      <c r="AV261" s="547"/>
      <c r="AW261" s="547"/>
      <c r="AX261" s="547"/>
      <c r="AY261" s="547"/>
      <c r="AZ261" s="547"/>
      <c r="BA261" s="547"/>
      <c r="BB261" s="547"/>
      <c r="BC261" s="547"/>
      <c r="BD261" s="547"/>
      <c r="BE261" s="547"/>
      <c r="BF261" s="547"/>
      <c r="BG261" s="547"/>
      <c r="BH261" s="547"/>
      <c r="BI261" s="547"/>
      <c r="BJ261" s="547"/>
      <c r="BK261" s="547"/>
      <c r="BL261" s="547"/>
      <c r="BM261" s="547"/>
      <c r="BN261" s="547"/>
      <c r="BO261" s="547"/>
      <c r="BP261" s="547"/>
      <c r="BQ261" s="547"/>
      <c r="BR261" s="547"/>
      <c r="BS261" s="547"/>
      <c r="BT261" s="547"/>
      <c r="BU261" s="547"/>
      <c r="BV261" s="547"/>
      <c r="BW261" s="547"/>
      <c r="BX261" s="547"/>
      <c r="BY261" s="547"/>
      <c r="BZ261" s="547"/>
      <c r="CA261" s="547"/>
      <c r="CB261" s="547"/>
      <c r="CC261" s="547"/>
    </row>
    <row r="262" spans="1:81">
      <c r="A262" s="547"/>
      <c r="B262" s="547"/>
      <c r="C262" s="547"/>
      <c r="D262" s="547"/>
      <c r="E262" s="547"/>
      <c r="F262" s="547"/>
      <c r="G262" s="547"/>
      <c r="H262" s="547"/>
      <c r="I262" s="547"/>
      <c r="J262" s="547"/>
      <c r="K262" s="547"/>
      <c r="L262" s="547"/>
      <c r="M262" s="547"/>
      <c r="N262" s="547"/>
      <c r="O262" s="547"/>
      <c r="P262" s="547"/>
      <c r="Q262" s="547"/>
      <c r="R262" s="547"/>
      <c r="S262" s="547"/>
      <c r="T262" s="547"/>
      <c r="U262" s="547"/>
      <c r="V262" s="547"/>
      <c r="W262" s="547"/>
      <c r="X262" s="547"/>
      <c r="Y262" s="547"/>
      <c r="Z262" s="547"/>
      <c r="AA262" s="547"/>
      <c r="AB262" s="547"/>
      <c r="AC262" s="547"/>
      <c r="AD262" s="547"/>
      <c r="AE262" s="547"/>
      <c r="AF262" s="547"/>
      <c r="AG262" s="547"/>
      <c r="AH262" s="547"/>
      <c r="AI262" s="547"/>
      <c r="AJ262" s="547"/>
      <c r="AK262" s="547"/>
      <c r="AL262" s="547"/>
      <c r="AM262" s="547"/>
      <c r="AN262" s="547"/>
      <c r="AO262" s="547"/>
      <c r="AP262" s="547"/>
      <c r="AQ262" s="547"/>
      <c r="AR262" s="547"/>
      <c r="AS262" s="547"/>
      <c r="AT262" s="547"/>
      <c r="AU262" s="547"/>
      <c r="AV262" s="547"/>
      <c r="AW262" s="547"/>
      <c r="AX262" s="547"/>
      <c r="AY262" s="547"/>
      <c r="AZ262" s="547"/>
      <c r="BA262" s="547"/>
      <c r="BB262" s="547"/>
      <c r="BC262" s="547"/>
      <c r="BD262" s="547"/>
      <c r="BE262" s="547"/>
      <c r="BF262" s="547"/>
      <c r="BG262" s="547"/>
      <c r="BH262" s="547"/>
      <c r="BI262" s="547"/>
      <c r="BJ262" s="547"/>
      <c r="BK262" s="547"/>
      <c r="BL262" s="547"/>
      <c r="BM262" s="547"/>
      <c r="BN262" s="547"/>
      <c r="BO262" s="547"/>
      <c r="BP262" s="547"/>
      <c r="BQ262" s="547"/>
      <c r="BR262" s="547"/>
      <c r="BS262" s="547"/>
      <c r="BT262" s="547"/>
      <c r="BU262" s="547"/>
      <c r="BV262" s="547"/>
      <c r="BW262" s="547"/>
      <c r="BX262" s="547"/>
      <c r="BY262" s="547"/>
      <c r="BZ262" s="547"/>
      <c r="CA262" s="547"/>
      <c r="CB262" s="547"/>
      <c r="CC262" s="547"/>
    </row>
    <row r="263" spans="1:81">
      <c r="A263" s="547"/>
      <c r="B263" s="547"/>
      <c r="C263" s="547"/>
      <c r="D263" s="547"/>
      <c r="E263" s="547"/>
      <c r="F263" s="547"/>
      <c r="G263" s="547"/>
      <c r="H263" s="547"/>
      <c r="I263" s="547"/>
      <c r="J263" s="547"/>
      <c r="K263" s="547"/>
      <c r="L263" s="547"/>
      <c r="M263" s="547"/>
      <c r="N263" s="547"/>
      <c r="O263" s="547"/>
      <c r="P263" s="547"/>
      <c r="Q263" s="547"/>
      <c r="R263" s="547"/>
      <c r="S263" s="547"/>
      <c r="T263" s="547"/>
      <c r="U263" s="547"/>
      <c r="V263" s="547"/>
      <c r="W263" s="547"/>
      <c r="X263" s="547"/>
      <c r="Y263" s="547"/>
      <c r="Z263" s="547"/>
      <c r="AA263" s="547"/>
      <c r="AB263" s="547"/>
      <c r="AC263" s="547"/>
      <c r="AD263" s="547"/>
      <c r="AE263" s="547"/>
      <c r="AF263" s="547"/>
      <c r="AG263" s="547"/>
      <c r="AH263" s="547"/>
      <c r="AI263" s="547"/>
      <c r="AJ263" s="547"/>
      <c r="AK263" s="547"/>
      <c r="AL263" s="547"/>
      <c r="AM263" s="547"/>
      <c r="AN263" s="547"/>
      <c r="AO263" s="547"/>
      <c r="AP263" s="547"/>
      <c r="AQ263" s="547"/>
      <c r="AR263" s="547"/>
      <c r="AS263" s="547"/>
      <c r="AT263" s="547"/>
      <c r="AU263" s="547"/>
      <c r="AV263" s="547"/>
      <c r="AW263" s="547"/>
      <c r="AX263" s="547"/>
      <c r="AY263" s="547"/>
      <c r="AZ263" s="547"/>
      <c r="BA263" s="547"/>
      <c r="BB263" s="547"/>
      <c r="BC263" s="547"/>
      <c r="BD263" s="547"/>
      <c r="BE263" s="547"/>
      <c r="BF263" s="547"/>
      <c r="BG263" s="547"/>
      <c r="BH263" s="547"/>
      <c r="BI263" s="547"/>
      <c r="BJ263" s="547"/>
      <c r="BK263" s="547"/>
      <c r="BL263" s="547"/>
      <c r="BM263" s="547"/>
      <c r="BN263" s="547"/>
      <c r="BO263" s="547"/>
      <c r="BP263" s="547"/>
      <c r="BQ263" s="547"/>
      <c r="BR263" s="547"/>
      <c r="BS263" s="547"/>
      <c r="BT263" s="547"/>
      <c r="BU263" s="547"/>
      <c r="BV263" s="547"/>
      <c r="BW263" s="547"/>
      <c r="BX263" s="547"/>
      <c r="BY263" s="547"/>
      <c r="BZ263" s="547"/>
      <c r="CA263" s="547"/>
      <c r="CB263" s="547"/>
      <c r="CC263" s="547"/>
    </row>
    <row r="264" spans="1:81">
      <c r="A264" s="547"/>
      <c r="B264" s="547"/>
      <c r="C264" s="547"/>
      <c r="D264" s="547"/>
      <c r="E264" s="547"/>
      <c r="F264" s="547"/>
      <c r="G264" s="547"/>
      <c r="H264" s="547"/>
      <c r="I264" s="547"/>
      <c r="J264" s="547"/>
      <c r="K264" s="547"/>
      <c r="L264" s="547"/>
      <c r="M264" s="547"/>
      <c r="N264" s="547"/>
      <c r="O264" s="547"/>
      <c r="P264" s="547"/>
      <c r="Q264" s="547"/>
      <c r="R264" s="547"/>
      <c r="S264" s="547"/>
      <c r="T264" s="547"/>
      <c r="U264" s="547"/>
      <c r="V264" s="547"/>
      <c r="W264" s="547"/>
      <c r="X264" s="547"/>
      <c r="Y264" s="547"/>
      <c r="Z264" s="547"/>
      <c r="AA264" s="547"/>
      <c r="AB264" s="547"/>
      <c r="AC264" s="547"/>
      <c r="AD264" s="547"/>
      <c r="AE264" s="547"/>
      <c r="AF264" s="547"/>
      <c r="AG264" s="547"/>
      <c r="AH264" s="547"/>
      <c r="AI264" s="547"/>
      <c r="AJ264" s="547"/>
      <c r="AK264" s="547"/>
      <c r="AL264" s="547"/>
      <c r="AM264" s="547"/>
      <c r="AN264" s="547"/>
      <c r="AO264" s="547"/>
      <c r="AP264" s="547"/>
      <c r="AQ264" s="547"/>
      <c r="AR264" s="547"/>
      <c r="AS264" s="547"/>
      <c r="AT264" s="547"/>
      <c r="AU264" s="547"/>
      <c r="AV264" s="547"/>
      <c r="AW264" s="547"/>
      <c r="AX264" s="547"/>
      <c r="AY264" s="547"/>
      <c r="AZ264" s="547"/>
      <c r="BA264" s="547"/>
      <c r="BB264" s="547"/>
      <c r="BC264" s="547"/>
      <c r="BD264" s="547"/>
      <c r="BE264" s="547"/>
      <c r="BF264" s="547"/>
      <c r="BG264" s="547"/>
      <c r="BH264" s="547"/>
      <c r="BI264" s="547"/>
      <c r="BJ264" s="547"/>
      <c r="BK264" s="547"/>
      <c r="BL264" s="547"/>
      <c r="BM264" s="547"/>
      <c r="BN264" s="547"/>
      <c r="BO264" s="547"/>
      <c r="BP264" s="547"/>
      <c r="BQ264" s="547"/>
      <c r="BR264" s="547"/>
      <c r="BS264" s="547"/>
      <c r="BT264" s="547"/>
      <c r="BU264" s="547"/>
      <c r="BV264" s="547"/>
      <c r="BW264" s="547"/>
      <c r="BX264" s="547"/>
      <c r="BY264" s="547"/>
      <c r="BZ264" s="547"/>
      <c r="CA264" s="547"/>
      <c r="CB264" s="547"/>
      <c r="CC264" s="547"/>
    </row>
    <row r="265" spans="1:81">
      <c r="A265" s="547"/>
      <c r="B265" s="547"/>
      <c r="C265" s="547"/>
      <c r="D265" s="547"/>
      <c r="E265" s="547"/>
      <c r="F265" s="547"/>
      <c r="G265" s="547"/>
      <c r="H265" s="547"/>
      <c r="I265" s="547"/>
      <c r="J265" s="547"/>
      <c r="K265" s="547"/>
      <c r="L265" s="547"/>
      <c r="M265" s="547"/>
      <c r="N265" s="547"/>
      <c r="O265" s="547"/>
      <c r="P265" s="547"/>
      <c r="Q265" s="547"/>
      <c r="R265" s="547"/>
      <c r="S265" s="547"/>
      <c r="T265" s="547"/>
      <c r="U265" s="547"/>
      <c r="V265" s="547"/>
      <c r="W265" s="547"/>
      <c r="X265" s="547"/>
      <c r="Y265" s="547"/>
      <c r="Z265" s="547"/>
      <c r="AA265" s="547"/>
      <c r="AB265" s="547"/>
      <c r="AC265" s="547"/>
      <c r="AD265" s="547"/>
      <c r="AE265" s="547"/>
      <c r="AF265" s="547"/>
      <c r="AG265" s="547"/>
      <c r="AH265" s="547"/>
      <c r="AI265" s="547"/>
      <c r="AJ265" s="547"/>
      <c r="AK265" s="547"/>
      <c r="AL265" s="547"/>
      <c r="AM265" s="547"/>
      <c r="AN265" s="547"/>
      <c r="AO265" s="547"/>
      <c r="AP265" s="547"/>
      <c r="AQ265" s="547"/>
      <c r="AR265" s="547"/>
      <c r="AS265" s="547"/>
      <c r="AT265" s="547"/>
      <c r="AU265" s="547"/>
      <c r="AV265" s="547"/>
      <c r="AW265" s="547"/>
      <c r="AX265" s="547"/>
      <c r="AY265" s="547"/>
      <c r="AZ265" s="547"/>
      <c r="BA265" s="547"/>
      <c r="BB265" s="547"/>
      <c r="BC265" s="547"/>
      <c r="BD265" s="547"/>
      <c r="BE265" s="547"/>
      <c r="BF265" s="547"/>
      <c r="BG265" s="547"/>
      <c r="BH265" s="547"/>
      <c r="BI265" s="547"/>
      <c r="BJ265" s="547"/>
      <c r="BK265" s="547"/>
      <c r="BL265" s="547"/>
      <c r="BM265" s="547"/>
      <c r="BN265" s="547"/>
      <c r="BO265" s="547"/>
      <c r="BP265" s="547"/>
      <c r="BQ265" s="547"/>
      <c r="BR265" s="547"/>
      <c r="BS265" s="547"/>
      <c r="BT265" s="547"/>
      <c r="BU265" s="547"/>
      <c r="BV265" s="547"/>
      <c r="BW265" s="547"/>
      <c r="BX265" s="547"/>
      <c r="BY265" s="547"/>
      <c r="BZ265" s="547"/>
      <c r="CA265" s="547"/>
      <c r="CB265" s="547"/>
      <c r="CC265" s="547"/>
    </row>
    <row r="266" spans="1:81">
      <c r="A266" s="547"/>
      <c r="B266" s="547"/>
      <c r="C266" s="547"/>
      <c r="D266" s="547"/>
      <c r="E266" s="547"/>
      <c r="F266" s="547"/>
      <c r="G266" s="547"/>
      <c r="H266" s="547"/>
      <c r="I266" s="547"/>
      <c r="J266" s="547"/>
      <c r="K266" s="547"/>
      <c r="L266" s="547"/>
      <c r="M266" s="547"/>
      <c r="N266" s="547"/>
      <c r="O266" s="547"/>
      <c r="P266" s="547"/>
      <c r="Q266" s="547"/>
      <c r="R266" s="547"/>
      <c r="S266" s="547"/>
      <c r="T266" s="547"/>
      <c r="U266" s="547"/>
      <c r="V266" s="547"/>
      <c r="W266" s="547"/>
      <c r="X266" s="547"/>
      <c r="Y266" s="547"/>
      <c r="Z266" s="547"/>
      <c r="AA266" s="547"/>
      <c r="AB266" s="547"/>
      <c r="AC266" s="547"/>
      <c r="AD266" s="547"/>
      <c r="AE266" s="547"/>
      <c r="AF266" s="547"/>
      <c r="AG266" s="547"/>
      <c r="AH266" s="547"/>
      <c r="AI266" s="547"/>
      <c r="AJ266" s="547"/>
      <c r="AK266" s="547"/>
      <c r="AL266" s="547"/>
      <c r="AM266" s="547"/>
      <c r="AN266" s="547"/>
      <c r="AO266" s="547"/>
      <c r="AP266" s="547"/>
      <c r="AQ266" s="547"/>
      <c r="AR266" s="547"/>
      <c r="AS266" s="547"/>
      <c r="AT266" s="547"/>
      <c r="AU266" s="547"/>
      <c r="AV266" s="547"/>
      <c r="AW266" s="547"/>
      <c r="AX266" s="547"/>
      <c r="AY266" s="547"/>
      <c r="AZ266" s="547"/>
      <c r="BA266" s="547"/>
      <c r="BB266" s="547"/>
      <c r="BC266" s="547"/>
      <c r="BD266" s="547"/>
      <c r="BE266" s="547"/>
      <c r="BF266" s="547"/>
      <c r="BG266" s="547"/>
      <c r="BH266" s="547"/>
      <c r="BI266" s="547"/>
      <c r="BJ266" s="547"/>
      <c r="BK266" s="547"/>
      <c r="BL266" s="547"/>
      <c r="BM266" s="547"/>
      <c r="BN266" s="547"/>
      <c r="BO266" s="547"/>
      <c r="BP266" s="547"/>
      <c r="BQ266" s="547"/>
      <c r="BR266" s="547"/>
      <c r="BS266" s="547"/>
      <c r="BT266" s="547"/>
      <c r="BU266" s="547"/>
      <c r="BV266" s="547"/>
      <c r="BW266" s="547"/>
      <c r="BX266" s="547"/>
      <c r="BY266" s="547"/>
      <c r="BZ266" s="547"/>
      <c r="CA266" s="547"/>
      <c r="CB266" s="547"/>
      <c r="CC266" s="547"/>
    </row>
    <row r="267" spans="1:81">
      <c r="A267" s="547"/>
      <c r="B267" s="547"/>
      <c r="C267" s="547"/>
      <c r="D267" s="547"/>
      <c r="E267" s="547"/>
      <c r="F267" s="547"/>
      <c r="G267" s="547"/>
      <c r="H267" s="547"/>
      <c r="I267" s="547"/>
      <c r="J267" s="547"/>
      <c r="K267" s="547"/>
      <c r="L267" s="547"/>
      <c r="M267" s="547"/>
      <c r="N267" s="547"/>
      <c r="O267" s="547"/>
      <c r="P267" s="547"/>
      <c r="Q267" s="547"/>
      <c r="R267" s="547"/>
      <c r="S267" s="547"/>
      <c r="T267" s="547"/>
      <c r="U267" s="547"/>
      <c r="V267" s="547"/>
      <c r="W267" s="547"/>
      <c r="X267" s="547"/>
      <c r="Y267" s="547"/>
      <c r="Z267" s="547"/>
      <c r="AA267" s="547"/>
      <c r="AB267" s="547"/>
      <c r="AC267" s="547"/>
      <c r="AD267" s="547"/>
      <c r="AE267" s="547"/>
      <c r="AF267" s="547"/>
      <c r="AG267" s="547"/>
      <c r="AH267" s="547"/>
      <c r="AI267" s="547"/>
      <c r="AJ267" s="547"/>
      <c r="AK267" s="547"/>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row>
    <row r="268" spans="1:81">
      <c r="A268" s="547"/>
      <c r="B268" s="547"/>
      <c r="C268" s="547"/>
      <c r="D268" s="547"/>
      <c r="E268" s="547"/>
      <c r="F268" s="547"/>
      <c r="G268" s="547"/>
      <c r="H268" s="547"/>
      <c r="I268" s="547"/>
      <c r="J268" s="547"/>
      <c r="K268" s="547"/>
      <c r="L268" s="547"/>
      <c r="M268" s="547"/>
      <c r="N268" s="547"/>
      <c r="O268" s="547"/>
      <c r="P268" s="547"/>
      <c r="Q268" s="547"/>
      <c r="R268" s="547"/>
      <c r="S268" s="547"/>
      <c r="T268" s="547"/>
      <c r="U268" s="547"/>
      <c r="V268" s="547"/>
      <c r="W268" s="547"/>
      <c r="X268" s="547"/>
      <c r="Y268" s="547"/>
      <c r="Z268" s="547"/>
      <c r="AA268" s="547"/>
      <c r="AB268" s="547"/>
      <c r="AC268" s="547"/>
      <c r="AD268" s="547"/>
      <c r="AE268" s="547"/>
      <c r="AF268" s="547"/>
      <c r="AG268" s="547"/>
      <c r="AH268" s="547"/>
      <c r="AI268" s="547"/>
      <c r="AJ268" s="547"/>
      <c r="AK268" s="547"/>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row>
    <row r="269" spans="1:81">
      <c r="A269" s="547"/>
      <c r="B269" s="547"/>
      <c r="C269" s="547"/>
      <c r="D269" s="547"/>
      <c r="E269" s="547"/>
      <c r="F269" s="547"/>
      <c r="G269" s="547"/>
      <c r="H269" s="547"/>
      <c r="I269" s="547"/>
      <c r="J269" s="547"/>
      <c r="K269" s="547"/>
      <c r="L269" s="547"/>
      <c r="M269" s="547"/>
      <c r="N269" s="547"/>
      <c r="O269" s="547"/>
      <c r="P269" s="547"/>
      <c r="Q269" s="547"/>
      <c r="R269" s="547"/>
      <c r="S269" s="547"/>
      <c r="T269" s="547"/>
      <c r="U269" s="547"/>
      <c r="V269" s="547"/>
      <c r="W269" s="547"/>
      <c r="X269" s="547"/>
      <c r="Y269" s="547"/>
      <c r="Z269" s="547"/>
      <c r="AA269" s="547"/>
      <c r="AB269" s="547"/>
      <c r="AC269" s="547"/>
      <c r="AD269" s="547"/>
      <c r="AE269" s="547"/>
      <c r="AF269" s="547"/>
      <c r="AG269" s="547"/>
      <c r="AH269" s="547"/>
      <c r="AI269" s="547"/>
      <c r="AJ269" s="547"/>
      <c r="AK269" s="547"/>
      <c r="AL269" s="547"/>
      <c r="AM269" s="547"/>
      <c r="AN269" s="547"/>
      <c r="AO269" s="547"/>
      <c r="AP269" s="547"/>
      <c r="AQ269" s="547"/>
      <c r="AR269" s="547"/>
      <c r="AS269" s="547"/>
      <c r="AT269" s="547"/>
      <c r="AU269" s="547"/>
      <c r="AV269" s="547"/>
      <c r="AW269" s="547"/>
      <c r="AX269" s="547"/>
      <c r="AY269" s="547"/>
      <c r="AZ269" s="547"/>
      <c r="BA269" s="547"/>
      <c r="BB269" s="547"/>
      <c r="BC269" s="547"/>
      <c r="BD269" s="547"/>
      <c r="BE269" s="547"/>
      <c r="BF269" s="547"/>
      <c r="BG269" s="547"/>
      <c r="BH269" s="547"/>
      <c r="BI269" s="547"/>
      <c r="BJ269" s="547"/>
      <c r="BK269" s="547"/>
      <c r="BL269" s="547"/>
      <c r="BM269" s="547"/>
      <c r="BN269" s="547"/>
      <c r="BO269" s="547"/>
      <c r="BP269" s="547"/>
      <c r="BQ269" s="547"/>
      <c r="BR269" s="547"/>
      <c r="BS269" s="547"/>
      <c r="BT269" s="547"/>
      <c r="BU269" s="547"/>
      <c r="BV269" s="547"/>
      <c r="BW269" s="547"/>
      <c r="BX269" s="547"/>
      <c r="BY269" s="547"/>
      <c r="BZ269" s="547"/>
      <c r="CA269" s="547"/>
      <c r="CB269" s="547"/>
      <c r="CC269" s="547"/>
    </row>
    <row r="270" spans="1:81">
      <c r="A270" s="547"/>
      <c r="B270" s="547"/>
      <c r="C270" s="547"/>
      <c r="D270" s="547"/>
      <c r="E270" s="547"/>
      <c r="F270" s="547"/>
      <c r="G270" s="547"/>
      <c r="H270" s="547"/>
      <c r="I270" s="547"/>
      <c r="J270" s="547"/>
      <c r="K270" s="547"/>
      <c r="L270" s="547"/>
      <c r="M270" s="547"/>
      <c r="N270" s="547"/>
      <c r="O270" s="547"/>
      <c r="P270" s="547"/>
      <c r="Q270" s="547"/>
      <c r="R270" s="547"/>
      <c r="S270" s="547"/>
      <c r="T270" s="547"/>
      <c r="U270" s="547"/>
      <c r="V270" s="547"/>
      <c r="W270" s="547"/>
      <c r="X270" s="547"/>
      <c r="Y270" s="547"/>
      <c r="Z270" s="547"/>
      <c r="AA270" s="547"/>
      <c r="AB270" s="547"/>
      <c r="AC270" s="547"/>
      <c r="AD270" s="547"/>
      <c r="AE270" s="547"/>
      <c r="AF270" s="547"/>
      <c r="AG270" s="547"/>
      <c r="AH270" s="547"/>
      <c r="AI270" s="547"/>
      <c r="AJ270" s="547"/>
      <c r="AK270" s="547"/>
      <c r="AL270" s="547"/>
      <c r="AM270" s="547"/>
      <c r="AN270" s="547"/>
      <c r="AO270" s="547"/>
      <c r="AP270" s="547"/>
      <c r="AQ270" s="547"/>
      <c r="AR270" s="547"/>
      <c r="AS270" s="547"/>
      <c r="AT270" s="547"/>
      <c r="AU270" s="547"/>
      <c r="AV270" s="547"/>
      <c r="AW270" s="547"/>
      <c r="AX270" s="547"/>
      <c r="AY270" s="547"/>
      <c r="AZ270" s="547"/>
      <c r="BA270" s="547"/>
      <c r="BB270" s="547"/>
      <c r="BC270" s="547"/>
      <c r="BD270" s="547"/>
      <c r="BE270" s="547"/>
      <c r="BF270" s="547"/>
      <c r="BG270" s="547"/>
      <c r="BH270" s="547"/>
      <c r="BI270" s="547"/>
      <c r="BJ270" s="547"/>
      <c r="BK270" s="547"/>
      <c r="BL270" s="547"/>
      <c r="BM270" s="547"/>
      <c r="BN270" s="547"/>
      <c r="BO270" s="547"/>
      <c r="BP270" s="547"/>
      <c r="BQ270" s="547"/>
      <c r="BR270" s="547"/>
      <c r="BS270" s="547"/>
      <c r="BT270" s="547"/>
      <c r="BU270" s="547"/>
      <c r="BV270" s="547"/>
      <c r="BW270" s="547"/>
      <c r="BX270" s="547"/>
      <c r="BY270" s="547"/>
      <c r="BZ270" s="547"/>
      <c r="CA270" s="547"/>
      <c r="CB270" s="547"/>
      <c r="CC270" s="547"/>
    </row>
    <row r="271" spans="1:81">
      <c r="A271" s="547"/>
      <c r="B271" s="547"/>
      <c r="C271" s="547"/>
      <c r="D271" s="547"/>
      <c r="E271" s="547"/>
      <c r="F271" s="547"/>
      <c r="G271" s="547"/>
      <c r="H271" s="547"/>
      <c r="I271" s="547"/>
      <c r="J271" s="547"/>
      <c r="K271" s="547"/>
      <c r="L271" s="547"/>
      <c r="M271" s="547"/>
      <c r="N271" s="547"/>
      <c r="O271" s="547"/>
      <c r="P271" s="547"/>
      <c r="Q271" s="547"/>
      <c r="R271" s="547"/>
      <c r="S271" s="547"/>
      <c r="T271" s="547"/>
      <c r="U271" s="547"/>
      <c r="V271" s="547"/>
      <c r="W271" s="547"/>
      <c r="X271" s="547"/>
      <c r="Y271" s="547"/>
      <c r="Z271" s="547"/>
      <c r="AA271" s="547"/>
      <c r="AB271" s="547"/>
      <c r="AC271" s="547"/>
      <c r="AD271" s="547"/>
      <c r="AE271" s="547"/>
      <c r="AF271" s="547"/>
      <c r="AG271" s="547"/>
      <c r="AH271" s="547"/>
      <c r="AI271" s="547"/>
      <c r="AJ271" s="547"/>
      <c r="AK271" s="547"/>
      <c r="AL271" s="547"/>
      <c r="AM271" s="547"/>
      <c r="AN271" s="547"/>
      <c r="AO271" s="547"/>
      <c r="AP271" s="547"/>
      <c r="AQ271" s="547"/>
      <c r="AR271" s="547"/>
      <c r="AS271" s="547"/>
      <c r="AT271" s="547"/>
      <c r="AU271" s="547"/>
      <c r="AV271" s="547"/>
      <c r="AW271" s="547"/>
      <c r="AX271" s="547"/>
      <c r="AY271" s="547"/>
      <c r="AZ271" s="547"/>
      <c r="BA271" s="547"/>
      <c r="BB271" s="547"/>
      <c r="BC271" s="547"/>
      <c r="BD271" s="547"/>
      <c r="BE271" s="547"/>
      <c r="BF271" s="547"/>
      <c r="BG271" s="547"/>
      <c r="BH271" s="547"/>
      <c r="BI271" s="547"/>
      <c r="BJ271" s="547"/>
      <c r="BK271" s="547"/>
      <c r="BL271" s="547"/>
      <c r="BM271" s="547"/>
      <c r="BN271" s="547"/>
      <c r="BO271" s="547"/>
      <c r="BP271" s="547"/>
      <c r="BQ271" s="547"/>
      <c r="BR271" s="547"/>
      <c r="BS271" s="547"/>
      <c r="BT271" s="547"/>
      <c r="BU271" s="547"/>
      <c r="BV271" s="547"/>
      <c r="BW271" s="547"/>
      <c r="BX271" s="547"/>
      <c r="BY271" s="547"/>
      <c r="BZ271" s="547"/>
      <c r="CA271" s="547"/>
      <c r="CB271" s="547"/>
      <c r="CC271" s="547"/>
    </row>
    <row r="272" spans="1:81">
      <c r="A272" s="547"/>
      <c r="B272" s="547"/>
      <c r="C272" s="547"/>
      <c r="D272" s="547"/>
      <c r="E272" s="547"/>
      <c r="F272" s="547"/>
      <c r="G272" s="547"/>
      <c r="H272" s="547"/>
      <c r="I272" s="547"/>
      <c r="J272" s="547"/>
      <c r="K272" s="547"/>
      <c r="L272" s="547"/>
      <c r="M272" s="547"/>
      <c r="N272" s="547"/>
      <c r="O272" s="547"/>
      <c r="P272" s="547"/>
      <c r="Q272" s="547"/>
      <c r="R272" s="547"/>
      <c r="S272" s="547"/>
      <c r="T272" s="547"/>
      <c r="U272" s="547"/>
      <c r="V272" s="547"/>
      <c r="W272" s="547"/>
      <c r="X272" s="547"/>
      <c r="Y272" s="547"/>
      <c r="Z272" s="547"/>
      <c r="AA272" s="547"/>
      <c r="AB272" s="547"/>
      <c r="AC272" s="547"/>
      <c r="AD272" s="547"/>
      <c r="AE272" s="547"/>
      <c r="AF272" s="547"/>
      <c r="AG272" s="547"/>
      <c r="AH272" s="547"/>
      <c r="AI272" s="547"/>
      <c r="AJ272" s="547"/>
      <c r="AK272" s="547"/>
      <c r="AL272" s="547"/>
      <c r="AM272" s="547"/>
      <c r="AN272" s="547"/>
      <c r="AO272" s="547"/>
      <c r="AP272" s="547"/>
      <c r="AQ272" s="547"/>
      <c r="AR272" s="547"/>
      <c r="AS272" s="547"/>
      <c r="AT272" s="547"/>
      <c r="AU272" s="547"/>
      <c r="AV272" s="547"/>
      <c r="AW272" s="547"/>
      <c r="AX272" s="547"/>
      <c r="AY272" s="547"/>
      <c r="AZ272" s="547"/>
      <c r="BA272" s="547"/>
      <c r="BB272" s="547"/>
      <c r="BC272" s="547"/>
      <c r="BD272" s="547"/>
      <c r="BE272" s="547"/>
      <c r="BF272" s="547"/>
      <c r="BG272" s="547"/>
      <c r="BH272" s="547"/>
      <c r="BI272" s="547"/>
      <c r="BJ272" s="547"/>
      <c r="BK272" s="547"/>
      <c r="BL272" s="547"/>
      <c r="BM272" s="547"/>
      <c r="BN272" s="547"/>
      <c r="BO272" s="547"/>
      <c r="BP272" s="547"/>
      <c r="BQ272" s="547"/>
      <c r="BR272" s="547"/>
      <c r="BS272" s="547"/>
      <c r="BT272" s="547"/>
      <c r="BU272" s="547"/>
      <c r="BV272" s="547"/>
      <c r="BW272" s="547"/>
      <c r="BX272" s="547"/>
      <c r="BY272" s="547"/>
      <c r="BZ272" s="547"/>
      <c r="CA272" s="547"/>
      <c r="CB272" s="547"/>
      <c r="CC272" s="547"/>
    </row>
    <row r="273" spans="1:81">
      <c r="A273" s="547"/>
      <c r="B273" s="547"/>
      <c r="C273" s="547"/>
      <c r="D273" s="547"/>
      <c r="E273" s="547"/>
      <c r="F273" s="547"/>
      <c r="G273" s="547"/>
      <c r="H273" s="547"/>
      <c r="I273" s="547"/>
      <c r="J273" s="547"/>
      <c r="K273" s="547"/>
      <c r="L273" s="547"/>
      <c r="M273" s="547"/>
      <c r="N273" s="547"/>
      <c r="O273" s="547"/>
      <c r="P273" s="547"/>
      <c r="Q273" s="547"/>
      <c r="R273" s="547"/>
      <c r="S273" s="547"/>
      <c r="T273" s="547"/>
      <c r="U273" s="547"/>
      <c r="V273" s="547"/>
      <c r="W273" s="547"/>
      <c r="X273" s="547"/>
      <c r="Y273" s="547"/>
      <c r="Z273" s="547"/>
      <c r="AA273" s="547"/>
      <c r="AB273" s="547"/>
      <c r="AC273" s="547"/>
      <c r="AD273" s="547"/>
      <c r="AE273" s="547"/>
      <c r="AF273" s="547"/>
      <c r="AG273" s="547"/>
      <c r="AH273" s="547"/>
      <c r="AI273" s="547"/>
      <c r="AJ273" s="547"/>
      <c r="AK273" s="547"/>
      <c r="AL273" s="547"/>
      <c r="AM273" s="547"/>
      <c r="AN273" s="547"/>
      <c r="AO273" s="547"/>
      <c r="AP273" s="547"/>
      <c r="AQ273" s="547"/>
      <c r="AR273" s="547"/>
      <c r="AS273" s="547"/>
      <c r="AT273" s="547"/>
      <c r="AU273" s="547"/>
      <c r="AV273" s="547"/>
      <c r="AW273" s="547"/>
      <c r="AX273" s="547"/>
      <c r="AY273" s="547"/>
      <c r="AZ273" s="547"/>
      <c r="BA273" s="547"/>
      <c r="BB273" s="547"/>
      <c r="BC273" s="547"/>
      <c r="BD273" s="547"/>
      <c r="BE273" s="547"/>
      <c r="BF273" s="547"/>
      <c r="BG273" s="547"/>
      <c r="BH273" s="547"/>
      <c r="BI273" s="547"/>
      <c r="BJ273" s="547"/>
      <c r="BK273" s="547"/>
      <c r="BL273" s="547"/>
      <c r="BM273" s="547"/>
      <c r="BN273" s="547"/>
      <c r="BO273" s="547"/>
      <c r="BP273" s="547"/>
      <c r="BQ273" s="547"/>
      <c r="BR273" s="547"/>
      <c r="BS273" s="547"/>
      <c r="BT273" s="547"/>
      <c r="BU273" s="547"/>
      <c r="BV273" s="547"/>
      <c r="BW273" s="547"/>
      <c r="BX273" s="547"/>
      <c r="BY273" s="547"/>
      <c r="BZ273" s="547"/>
      <c r="CA273" s="547"/>
      <c r="CB273" s="547"/>
      <c r="CC273" s="547"/>
    </row>
    <row r="274" spans="1:81">
      <c r="A274" s="547"/>
      <c r="B274" s="547"/>
      <c r="C274" s="547"/>
      <c r="D274" s="547"/>
      <c r="E274" s="547"/>
      <c r="F274" s="547"/>
      <c r="G274" s="547"/>
      <c r="H274" s="547"/>
      <c r="I274" s="547"/>
      <c r="J274" s="547"/>
      <c r="K274" s="547"/>
      <c r="L274" s="547"/>
      <c r="M274" s="547"/>
      <c r="N274" s="547"/>
      <c r="O274" s="547"/>
      <c r="P274" s="547"/>
      <c r="Q274" s="547"/>
      <c r="R274" s="547"/>
      <c r="S274" s="547"/>
      <c r="T274" s="547"/>
      <c r="U274" s="547"/>
      <c r="V274" s="547"/>
      <c r="W274" s="547"/>
      <c r="X274" s="547"/>
      <c r="Y274" s="547"/>
      <c r="Z274" s="547"/>
      <c r="AA274" s="547"/>
      <c r="AB274" s="547"/>
      <c r="AC274" s="547"/>
      <c r="AD274" s="547"/>
      <c r="AE274" s="547"/>
      <c r="AF274" s="547"/>
      <c r="AG274" s="547"/>
      <c r="AH274" s="547"/>
      <c r="AI274" s="547"/>
      <c r="AJ274" s="547"/>
      <c r="AK274" s="547"/>
      <c r="AL274" s="547"/>
      <c r="AM274" s="547"/>
      <c r="AN274" s="547"/>
      <c r="AO274" s="547"/>
      <c r="AP274" s="547"/>
      <c r="AQ274" s="547"/>
      <c r="AR274" s="547"/>
      <c r="AS274" s="547"/>
      <c r="AT274" s="547"/>
      <c r="AU274" s="547"/>
      <c r="AV274" s="547"/>
      <c r="AW274" s="547"/>
      <c r="AX274" s="547"/>
      <c r="AY274" s="547"/>
      <c r="AZ274" s="547"/>
      <c r="BA274" s="547"/>
      <c r="BB274" s="547"/>
      <c r="BC274" s="547"/>
      <c r="BD274" s="547"/>
      <c r="BE274" s="547"/>
      <c r="BF274" s="547"/>
      <c r="BG274" s="547"/>
      <c r="BH274" s="547"/>
      <c r="BI274" s="547"/>
      <c r="BJ274" s="547"/>
      <c r="BK274" s="547"/>
      <c r="BL274" s="547"/>
      <c r="BM274" s="547"/>
      <c r="BN274" s="547"/>
      <c r="BO274" s="547"/>
      <c r="BP274" s="547"/>
      <c r="BQ274" s="547"/>
      <c r="BR274" s="547"/>
      <c r="BS274" s="547"/>
      <c r="BT274" s="547"/>
      <c r="BU274" s="547"/>
      <c r="BV274" s="547"/>
      <c r="BW274" s="547"/>
      <c r="BX274" s="547"/>
      <c r="BY274" s="547"/>
      <c r="BZ274" s="547"/>
      <c r="CA274" s="547"/>
      <c r="CB274" s="547"/>
      <c r="CC274" s="547"/>
    </row>
    <row r="275" spans="1:81">
      <c r="A275" s="547"/>
      <c r="B275" s="547"/>
      <c r="C275" s="547"/>
      <c r="D275" s="547"/>
      <c r="E275" s="547"/>
      <c r="F275" s="547"/>
      <c r="G275" s="547"/>
      <c r="H275" s="547"/>
      <c r="I275" s="547"/>
      <c r="J275" s="547"/>
      <c r="K275" s="547"/>
      <c r="L275" s="547"/>
      <c r="M275" s="547"/>
      <c r="N275" s="547"/>
      <c r="O275" s="547"/>
      <c r="P275" s="547"/>
      <c r="Q275" s="547"/>
      <c r="R275" s="547"/>
      <c r="S275" s="547"/>
      <c r="T275" s="547"/>
      <c r="U275" s="547"/>
      <c r="V275" s="547"/>
      <c r="W275" s="547"/>
      <c r="X275" s="547"/>
      <c r="Y275" s="547"/>
      <c r="Z275" s="547"/>
      <c r="AA275" s="547"/>
      <c r="AB275" s="547"/>
      <c r="AC275" s="547"/>
      <c r="AD275" s="547"/>
      <c r="AE275" s="547"/>
      <c r="AF275" s="547"/>
      <c r="AG275" s="547"/>
      <c r="AH275" s="547"/>
      <c r="AI275" s="547"/>
      <c r="AJ275" s="547"/>
      <c r="AK275" s="547"/>
      <c r="AL275" s="547"/>
      <c r="AM275" s="547"/>
      <c r="AN275" s="547"/>
      <c r="AO275" s="547"/>
      <c r="AP275" s="547"/>
      <c r="AQ275" s="547"/>
      <c r="AR275" s="547"/>
      <c r="AS275" s="547"/>
      <c r="AT275" s="547"/>
      <c r="AU275" s="547"/>
      <c r="AV275" s="547"/>
      <c r="AW275" s="547"/>
      <c r="AX275" s="547"/>
      <c r="AY275" s="547"/>
      <c r="AZ275" s="547"/>
      <c r="BA275" s="547"/>
      <c r="BB275" s="547"/>
      <c r="BC275" s="547"/>
      <c r="BD275" s="547"/>
      <c r="BE275" s="547"/>
      <c r="BF275" s="547"/>
      <c r="BG275" s="547"/>
      <c r="BH275" s="547"/>
      <c r="BI275" s="547"/>
      <c r="BJ275" s="547"/>
      <c r="BK275" s="547"/>
      <c r="BL275" s="547"/>
      <c r="BM275" s="547"/>
      <c r="BN275" s="547"/>
      <c r="BO275" s="547"/>
      <c r="BP275" s="547"/>
      <c r="BQ275" s="547"/>
      <c r="BR275" s="547"/>
      <c r="BS275" s="547"/>
      <c r="BT275" s="547"/>
      <c r="BU275" s="547"/>
      <c r="BV275" s="547"/>
      <c r="BW275" s="547"/>
      <c r="BX275" s="547"/>
      <c r="BY275" s="547"/>
      <c r="BZ275" s="547"/>
      <c r="CA275" s="547"/>
      <c r="CB275" s="547"/>
      <c r="CC275" s="547"/>
    </row>
    <row r="276" spans="1:81">
      <c r="A276" s="547"/>
      <c r="B276" s="547"/>
      <c r="C276" s="547"/>
      <c r="D276" s="547"/>
      <c r="E276" s="547"/>
      <c r="F276" s="547"/>
      <c r="G276" s="547"/>
      <c r="H276" s="547"/>
      <c r="I276" s="547"/>
      <c r="J276" s="547"/>
      <c r="K276" s="547"/>
      <c r="L276" s="547"/>
      <c r="M276" s="547"/>
      <c r="N276" s="547"/>
      <c r="O276" s="547"/>
      <c r="P276" s="547"/>
      <c r="Q276" s="547"/>
      <c r="R276" s="547"/>
      <c r="S276" s="547"/>
      <c r="T276" s="547"/>
      <c r="U276" s="547"/>
      <c r="V276" s="547"/>
      <c r="W276" s="547"/>
      <c r="X276" s="547"/>
      <c r="Y276" s="547"/>
      <c r="Z276" s="547"/>
      <c r="AA276" s="547"/>
      <c r="AB276" s="547"/>
      <c r="AC276" s="547"/>
      <c r="AD276" s="547"/>
      <c r="AE276" s="547"/>
      <c r="AF276" s="547"/>
      <c r="AG276" s="547"/>
      <c r="AH276" s="547"/>
      <c r="AI276" s="547"/>
      <c r="AJ276" s="547"/>
      <c r="AK276" s="547"/>
      <c r="AL276" s="547"/>
      <c r="AM276" s="547"/>
      <c r="AN276" s="547"/>
      <c r="AO276" s="547"/>
      <c r="AP276" s="547"/>
      <c r="AQ276" s="547"/>
      <c r="AR276" s="547"/>
      <c r="AS276" s="547"/>
      <c r="AT276" s="547"/>
      <c r="AU276" s="547"/>
      <c r="AV276" s="547"/>
      <c r="AW276" s="547"/>
      <c r="AX276" s="547"/>
      <c r="AY276" s="547"/>
      <c r="AZ276" s="547"/>
      <c r="BA276" s="547"/>
      <c r="BB276" s="547"/>
      <c r="BC276" s="547"/>
      <c r="BD276" s="547"/>
      <c r="BE276" s="547"/>
      <c r="BF276" s="547"/>
      <c r="BG276" s="547"/>
      <c r="BH276" s="547"/>
      <c r="BI276" s="547"/>
      <c r="BJ276" s="547"/>
      <c r="BK276" s="547"/>
      <c r="BL276" s="547"/>
      <c r="BM276" s="547"/>
      <c r="BN276" s="547"/>
      <c r="BO276" s="547"/>
      <c r="BP276" s="547"/>
      <c r="BQ276" s="547"/>
      <c r="BR276" s="547"/>
      <c r="BS276" s="547"/>
      <c r="BT276" s="547"/>
      <c r="BU276" s="547"/>
      <c r="BV276" s="547"/>
      <c r="BW276" s="547"/>
      <c r="BX276" s="547"/>
      <c r="BY276" s="547"/>
      <c r="BZ276" s="547"/>
      <c r="CA276" s="547"/>
      <c r="CB276" s="547"/>
      <c r="CC276" s="547"/>
    </row>
    <row r="277" spans="1:81">
      <c r="A277" s="547"/>
      <c r="B277" s="547"/>
      <c r="C277" s="547"/>
      <c r="D277" s="547"/>
      <c r="E277" s="547"/>
      <c r="F277" s="547"/>
      <c r="G277" s="547"/>
      <c r="H277" s="547"/>
      <c r="I277" s="547"/>
      <c r="J277" s="547"/>
      <c r="K277" s="547"/>
      <c r="L277" s="547"/>
      <c r="M277" s="547"/>
      <c r="N277" s="547"/>
      <c r="O277" s="547"/>
      <c r="P277" s="547"/>
      <c r="Q277" s="547"/>
      <c r="R277" s="547"/>
      <c r="S277" s="547"/>
      <c r="T277" s="547"/>
      <c r="U277" s="547"/>
      <c r="V277" s="547"/>
      <c r="W277" s="547"/>
      <c r="X277" s="547"/>
      <c r="Y277" s="547"/>
      <c r="Z277" s="547"/>
      <c r="AA277" s="547"/>
      <c r="AB277" s="547"/>
      <c r="AC277" s="547"/>
      <c r="AD277" s="547"/>
      <c r="AE277" s="547"/>
      <c r="AF277" s="547"/>
      <c r="AG277" s="547"/>
      <c r="AH277" s="547"/>
      <c r="AI277" s="547"/>
      <c r="AJ277" s="547"/>
      <c r="AK277" s="547"/>
      <c r="AL277" s="547"/>
      <c r="AM277" s="547"/>
      <c r="AN277" s="547"/>
      <c r="AO277" s="547"/>
      <c r="AP277" s="547"/>
      <c r="AQ277" s="547"/>
      <c r="AR277" s="547"/>
      <c r="AS277" s="547"/>
      <c r="AT277" s="547"/>
      <c r="AU277" s="547"/>
      <c r="AV277" s="547"/>
      <c r="AW277" s="547"/>
      <c r="AX277" s="547"/>
      <c r="AY277" s="547"/>
      <c r="AZ277" s="547"/>
      <c r="BA277" s="547"/>
      <c r="BB277" s="547"/>
      <c r="BC277" s="547"/>
      <c r="BD277" s="547"/>
      <c r="BE277" s="547"/>
      <c r="BF277" s="547"/>
      <c r="BG277" s="547"/>
      <c r="BH277" s="547"/>
      <c r="BI277" s="547"/>
      <c r="BJ277" s="547"/>
      <c r="BK277" s="547"/>
      <c r="BL277" s="547"/>
      <c r="BM277" s="547"/>
      <c r="BN277" s="547"/>
      <c r="BO277" s="547"/>
      <c r="BP277" s="547"/>
      <c r="BQ277" s="547"/>
      <c r="BR277" s="547"/>
      <c r="BS277" s="547"/>
      <c r="BT277" s="547"/>
      <c r="BU277" s="547"/>
      <c r="BV277" s="547"/>
      <c r="BW277" s="547"/>
      <c r="BX277" s="547"/>
      <c r="BY277" s="547"/>
      <c r="BZ277" s="547"/>
      <c r="CA277" s="547"/>
      <c r="CB277" s="547"/>
      <c r="CC277" s="547"/>
    </row>
    <row r="278" spans="1:81">
      <c r="A278" s="547"/>
      <c r="B278" s="547"/>
      <c r="C278" s="547"/>
      <c r="D278" s="547"/>
      <c r="E278" s="547"/>
      <c r="F278" s="547"/>
      <c r="G278" s="547"/>
      <c r="H278" s="547"/>
      <c r="I278" s="547"/>
      <c r="J278" s="547"/>
      <c r="K278" s="547"/>
      <c r="L278" s="547"/>
      <c r="M278" s="547"/>
      <c r="N278" s="547"/>
      <c r="O278" s="547"/>
      <c r="P278" s="547"/>
      <c r="Q278" s="547"/>
      <c r="R278" s="547"/>
      <c r="S278" s="547"/>
      <c r="T278" s="547"/>
      <c r="U278" s="547"/>
      <c r="V278" s="547"/>
      <c r="W278" s="547"/>
      <c r="X278" s="547"/>
      <c r="Y278" s="547"/>
      <c r="Z278" s="547"/>
      <c r="AA278" s="547"/>
      <c r="AB278" s="547"/>
      <c r="AC278" s="547"/>
      <c r="AD278" s="547"/>
      <c r="AE278" s="547"/>
      <c r="AF278" s="547"/>
      <c r="AG278" s="547"/>
      <c r="AH278" s="547"/>
      <c r="AI278" s="547"/>
      <c r="AJ278" s="547"/>
      <c r="AK278" s="547"/>
      <c r="AL278" s="547"/>
      <c r="AM278" s="547"/>
      <c r="AN278" s="547"/>
      <c r="AO278" s="547"/>
      <c r="AP278" s="547"/>
      <c r="AQ278" s="547"/>
      <c r="AR278" s="547"/>
      <c r="AS278" s="547"/>
      <c r="AT278" s="547"/>
      <c r="AU278" s="547"/>
      <c r="AV278" s="547"/>
      <c r="AW278" s="547"/>
      <c r="AX278" s="547"/>
      <c r="AY278" s="547"/>
      <c r="AZ278" s="547"/>
      <c r="BA278" s="547"/>
      <c r="BB278" s="547"/>
      <c r="BC278" s="547"/>
      <c r="BD278" s="547"/>
      <c r="BE278" s="547"/>
      <c r="BF278" s="547"/>
      <c r="BG278" s="547"/>
      <c r="BH278" s="547"/>
      <c r="BI278" s="547"/>
      <c r="BJ278" s="547"/>
      <c r="BK278" s="547"/>
      <c r="BL278" s="547"/>
      <c r="BM278" s="547"/>
      <c r="BN278" s="547"/>
      <c r="BO278" s="547"/>
      <c r="BP278" s="547"/>
      <c r="BQ278" s="547"/>
      <c r="BR278" s="547"/>
      <c r="BS278" s="547"/>
      <c r="BT278" s="547"/>
      <c r="BU278" s="547"/>
      <c r="BV278" s="547"/>
      <c r="BW278" s="547"/>
      <c r="BX278" s="547"/>
      <c r="BY278" s="547"/>
      <c r="BZ278" s="547"/>
      <c r="CA278" s="547"/>
      <c r="CB278" s="547"/>
      <c r="CC278" s="547"/>
    </row>
    <row r="279" spans="1:81">
      <c r="A279" s="547"/>
      <c r="B279" s="547"/>
      <c r="C279" s="547"/>
      <c r="D279" s="547"/>
      <c r="E279" s="547"/>
      <c r="F279" s="547"/>
      <c r="G279" s="547"/>
      <c r="H279" s="547"/>
      <c r="I279" s="547"/>
      <c r="J279" s="547"/>
      <c r="K279" s="547"/>
      <c r="L279" s="547"/>
      <c r="M279" s="547"/>
      <c r="N279" s="547"/>
      <c r="O279" s="547"/>
      <c r="P279" s="547"/>
      <c r="Q279" s="547"/>
      <c r="R279" s="547"/>
      <c r="S279" s="547"/>
      <c r="T279" s="547"/>
      <c r="U279" s="547"/>
      <c r="V279" s="547"/>
      <c r="W279" s="547"/>
      <c r="X279" s="547"/>
      <c r="Y279" s="547"/>
      <c r="Z279" s="547"/>
      <c r="AA279" s="547"/>
      <c r="AB279" s="547"/>
      <c r="AC279" s="547"/>
      <c r="AD279" s="547"/>
      <c r="AE279" s="547"/>
      <c r="AF279" s="547"/>
      <c r="AG279" s="547"/>
      <c r="AH279" s="547"/>
      <c r="AI279" s="547"/>
      <c r="AJ279" s="547"/>
      <c r="AK279" s="547"/>
      <c r="AL279" s="547"/>
      <c r="AM279" s="547"/>
      <c r="AN279" s="547"/>
      <c r="AO279" s="547"/>
      <c r="AP279" s="547"/>
      <c r="AQ279" s="547"/>
      <c r="AR279" s="547"/>
      <c r="AS279" s="547"/>
      <c r="AT279" s="547"/>
      <c r="AU279" s="547"/>
      <c r="AV279" s="547"/>
      <c r="AW279" s="547"/>
      <c r="AX279" s="547"/>
      <c r="AY279" s="547"/>
      <c r="AZ279" s="547"/>
      <c r="BA279" s="547"/>
      <c r="BB279" s="547"/>
      <c r="BC279" s="547"/>
      <c r="BD279" s="547"/>
      <c r="BE279" s="547"/>
      <c r="BF279" s="547"/>
      <c r="BG279" s="547"/>
      <c r="BH279" s="547"/>
      <c r="BI279" s="547"/>
      <c r="BJ279" s="547"/>
      <c r="BK279" s="547"/>
      <c r="BL279" s="547"/>
      <c r="BM279" s="547"/>
      <c r="BN279" s="547"/>
      <c r="BO279" s="547"/>
      <c r="BP279" s="547"/>
      <c r="BQ279" s="547"/>
      <c r="BR279" s="547"/>
      <c r="BS279" s="547"/>
      <c r="BT279" s="547"/>
      <c r="BU279" s="547"/>
      <c r="BV279" s="547"/>
      <c r="BW279" s="547"/>
      <c r="BX279" s="547"/>
      <c r="BY279" s="547"/>
      <c r="BZ279" s="547"/>
      <c r="CA279" s="547"/>
      <c r="CB279" s="547"/>
      <c r="CC279" s="547"/>
    </row>
    <row r="280" spans="1:81">
      <c r="A280" s="547"/>
      <c r="B280" s="547"/>
      <c r="C280" s="547"/>
      <c r="D280" s="547"/>
      <c r="E280" s="547"/>
      <c r="F280" s="547"/>
      <c r="G280" s="547"/>
      <c r="H280" s="547"/>
      <c r="I280" s="547"/>
      <c r="J280" s="547"/>
      <c r="K280" s="547"/>
      <c r="L280" s="547"/>
      <c r="M280" s="547"/>
      <c r="N280" s="547"/>
      <c r="O280" s="547"/>
      <c r="P280" s="547"/>
      <c r="Q280" s="547"/>
      <c r="R280" s="547"/>
      <c r="S280" s="547"/>
      <c r="T280" s="547"/>
      <c r="U280" s="547"/>
      <c r="V280" s="547"/>
      <c r="W280" s="547"/>
      <c r="X280" s="547"/>
      <c r="Y280" s="547"/>
      <c r="Z280" s="547"/>
      <c r="AA280" s="547"/>
      <c r="AB280" s="547"/>
      <c r="AC280" s="547"/>
      <c r="AD280" s="547"/>
      <c r="AE280" s="547"/>
      <c r="AF280" s="547"/>
      <c r="AG280" s="547"/>
      <c r="AH280" s="547"/>
      <c r="AI280" s="547"/>
      <c r="AJ280" s="547"/>
      <c r="AK280" s="547"/>
      <c r="AL280" s="547"/>
      <c r="AM280" s="547"/>
      <c r="AN280" s="547"/>
      <c r="AO280" s="547"/>
      <c r="AP280" s="547"/>
      <c r="AQ280" s="547"/>
      <c r="AR280" s="547"/>
      <c r="AS280" s="547"/>
      <c r="AT280" s="547"/>
      <c r="AU280" s="547"/>
      <c r="AV280" s="547"/>
      <c r="AW280" s="547"/>
      <c r="AX280" s="547"/>
      <c r="AY280" s="547"/>
      <c r="AZ280" s="547"/>
      <c r="BA280" s="547"/>
      <c r="BB280" s="547"/>
      <c r="BC280" s="547"/>
      <c r="BD280" s="547"/>
      <c r="BE280" s="547"/>
      <c r="BF280" s="547"/>
      <c r="BG280" s="547"/>
      <c r="BH280" s="547"/>
      <c r="BI280" s="547"/>
      <c r="BJ280" s="547"/>
      <c r="BK280" s="547"/>
      <c r="BL280" s="547"/>
      <c r="BM280" s="547"/>
      <c r="BN280" s="547"/>
      <c r="BO280" s="547"/>
      <c r="BP280" s="547"/>
      <c r="BQ280" s="547"/>
      <c r="BR280" s="547"/>
      <c r="BS280" s="547"/>
      <c r="BT280" s="547"/>
      <c r="BU280" s="547"/>
      <c r="BV280" s="547"/>
      <c r="BW280" s="547"/>
      <c r="BX280" s="547"/>
      <c r="BY280" s="547"/>
      <c r="BZ280" s="547"/>
      <c r="CA280" s="547"/>
      <c r="CB280" s="547"/>
      <c r="CC280" s="547"/>
    </row>
    <row r="281" spans="1:81">
      <c r="A281" s="547"/>
      <c r="B281" s="547"/>
      <c r="C281" s="547"/>
      <c r="D281" s="547"/>
      <c r="E281" s="547"/>
      <c r="F281" s="547"/>
      <c r="G281" s="547"/>
      <c r="H281" s="547"/>
      <c r="I281" s="547"/>
      <c r="J281" s="547"/>
      <c r="K281" s="547"/>
      <c r="L281" s="547"/>
      <c r="M281" s="547"/>
      <c r="N281" s="547"/>
      <c r="O281" s="547"/>
      <c r="P281" s="547"/>
      <c r="Q281" s="547"/>
      <c r="R281" s="547"/>
      <c r="S281" s="547"/>
      <c r="T281" s="547"/>
      <c r="U281" s="547"/>
      <c r="V281" s="547"/>
      <c r="W281" s="547"/>
      <c r="X281" s="547"/>
      <c r="Y281" s="547"/>
      <c r="Z281" s="547"/>
      <c r="AA281" s="547"/>
      <c r="AB281" s="547"/>
      <c r="AC281" s="547"/>
      <c r="AD281" s="547"/>
      <c r="AE281" s="547"/>
      <c r="AF281" s="547"/>
      <c r="AG281" s="547"/>
      <c r="AH281" s="547"/>
      <c r="AI281" s="547"/>
      <c r="AJ281" s="547"/>
      <c r="AK281" s="547"/>
      <c r="AL281" s="547"/>
      <c r="AM281" s="547"/>
      <c r="AN281" s="547"/>
      <c r="AO281" s="547"/>
      <c r="AP281" s="547"/>
      <c r="AQ281" s="547"/>
      <c r="AR281" s="547"/>
      <c r="AS281" s="547"/>
      <c r="AT281" s="547"/>
      <c r="AU281" s="547"/>
      <c r="AV281" s="547"/>
      <c r="AW281" s="547"/>
      <c r="AX281" s="547"/>
      <c r="AY281" s="547"/>
      <c r="AZ281" s="547"/>
      <c r="BA281" s="547"/>
      <c r="BB281" s="547"/>
      <c r="BC281" s="547"/>
      <c r="BD281" s="547"/>
      <c r="BE281" s="547"/>
      <c r="BF281" s="547"/>
      <c r="BG281" s="547"/>
      <c r="BH281" s="547"/>
      <c r="BI281" s="547"/>
      <c r="BJ281" s="547"/>
      <c r="BK281" s="547"/>
      <c r="BL281" s="547"/>
      <c r="BM281" s="547"/>
      <c r="BN281" s="547"/>
      <c r="BO281" s="547"/>
      <c r="BP281" s="547"/>
      <c r="BQ281" s="547"/>
      <c r="BR281" s="547"/>
      <c r="BS281" s="547"/>
      <c r="BT281" s="547"/>
      <c r="BU281" s="547"/>
      <c r="BV281" s="547"/>
      <c r="BW281" s="547"/>
      <c r="BX281" s="547"/>
      <c r="BY281" s="547"/>
      <c r="BZ281" s="547"/>
      <c r="CA281" s="547"/>
      <c r="CB281" s="547"/>
      <c r="CC281" s="547"/>
    </row>
    <row r="282" spans="1:81">
      <c r="A282" s="547"/>
      <c r="B282" s="547"/>
      <c r="C282" s="547"/>
      <c r="D282" s="547"/>
      <c r="E282" s="547"/>
      <c r="F282" s="547"/>
      <c r="G282" s="547"/>
      <c r="H282" s="547"/>
      <c r="I282" s="547"/>
      <c r="J282" s="547"/>
      <c r="K282" s="547"/>
      <c r="L282" s="547"/>
      <c r="M282" s="547"/>
      <c r="N282" s="547"/>
      <c r="O282" s="547"/>
      <c r="P282" s="547"/>
      <c r="Q282" s="547"/>
      <c r="R282" s="547"/>
      <c r="S282" s="547"/>
      <c r="T282" s="547"/>
      <c r="U282" s="547"/>
      <c r="V282" s="547"/>
      <c r="W282" s="547"/>
      <c r="X282" s="547"/>
      <c r="Y282" s="547"/>
      <c r="Z282" s="547"/>
      <c r="AA282" s="547"/>
      <c r="AB282" s="547"/>
      <c r="AC282" s="547"/>
      <c r="AD282" s="547"/>
      <c r="AE282" s="547"/>
      <c r="AF282" s="547"/>
      <c r="AG282" s="547"/>
      <c r="AH282" s="547"/>
      <c r="AI282" s="547"/>
      <c r="AJ282" s="547"/>
      <c r="AK282" s="547"/>
      <c r="AL282" s="547"/>
      <c r="AM282" s="547"/>
      <c r="AN282" s="547"/>
      <c r="AO282" s="547"/>
      <c r="AP282" s="547"/>
      <c r="AQ282" s="547"/>
      <c r="AR282" s="547"/>
      <c r="AS282" s="547"/>
      <c r="AT282" s="547"/>
      <c r="AU282" s="547"/>
      <c r="AV282" s="547"/>
      <c r="AW282" s="547"/>
      <c r="AX282" s="547"/>
      <c r="AY282" s="547"/>
      <c r="AZ282" s="547"/>
      <c r="BA282" s="547"/>
      <c r="BB282" s="547"/>
      <c r="BC282" s="547"/>
      <c r="BD282" s="547"/>
      <c r="BE282" s="547"/>
      <c r="BF282" s="547"/>
      <c r="BG282" s="547"/>
      <c r="BH282" s="547"/>
      <c r="BI282" s="547"/>
      <c r="BJ282" s="547"/>
      <c r="BK282" s="547"/>
      <c r="BL282" s="547"/>
      <c r="BM282" s="547"/>
      <c r="BN282" s="547"/>
      <c r="BO282" s="547"/>
      <c r="BP282" s="547"/>
      <c r="BQ282" s="547"/>
      <c r="BR282" s="547"/>
      <c r="BS282" s="547"/>
      <c r="BT282" s="547"/>
      <c r="BU282" s="547"/>
      <c r="BV282" s="547"/>
      <c r="BW282" s="547"/>
      <c r="BX282" s="547"/>
      <c r="BY282" s="547"/>
      <c r="BZ282" s="547"/>
      <c r="CA282" s="547"/>
      <c r="CB282" s="547"/>
      <c r="CC282" s="547"/>
    </row>
    <row r="283" spans="1:81">
      <c r="A283" s="547"/>
      <c r="B283" s="547"/>
      <c r="C283" s="547"/>
      <c r="D283" s="547"/>
      <c r="E283" s="547"/>
      <c r="F283" s="547"/>
      <c r="G283" s="547"/>
      <c r="H283" s="547"/>
      <c r="I283" s="547"/>
      <c r="J283" s="547"/>
      <c r="K283" s="547"/>
      <c r="L283" s="547"/>
      <c r="M283" s="547"/>
      <c r="N283" s="547"/>
      <c r="O283" s="547"/>
      <c r="P283" s="547"/>
      <c r="Q283" s="547"/>
      <c r="R283" s="547"/>
      <c r="S283" s="547"/>
      <c r="T283" s="547"/>
      <c r="U283" s="547"/>
      <c r="V283" s="547"/>
      <c r="W283" s="547"/>
      <c r="X283" s="547"/>
      <c r="Y283" s="547"/>
      <c r="Z283" s="547"/>
      <c r="AA283" s="547"/>
      <c r="AB283" s="547"/>
      <c r="AC283" s="547"/>
      <c r="AD283" s="547"/>
      <c r="AE283" s="547"/>
      <c r="AF283" s="547"/>
      <c r="AG283" s="547"/>
      <c r="AH283" s="547"/>
      <c r="AI283" s="547"/>
      <c r="AJ283" s="547"/>
      <c r="AK283" s="547"/>
      <c r="AL283" s="547"/>
      <c r="AM283" s="547"/>
      <c r="AN283" s="547"/>
      <c r="AO283" s="547"/>
      <c r="AP283" s="547"/>
      <c r="AQ283" s="547"/>
      <c r="AR283" s="547"/>
      <c r="AS283" s="547"/>
      <c r="AT283" s="547"/>
      <c r="AU283" s="547"/>
      <c r="AV283" s="547"/>
      <c r="AW283" s="547"/>
      <c r="AX283" s="547"/>
      <c r="AY283" s="547"/>
      <c r="AZ283" s="547"/>
      <c r="BA283" s="547"/>
      <c r="BB283" s="547"/>
      <c r="BC283" s="547"/>
      <c r="BD283" s="547"/>
      <c r="BE283" s="547"/>
      <c r="BF283" s="547"/>
      <c r="BG283" s="547"/>
      <c r="BH283" s="547"/>
      <c r="BI283" s="547"/>
      <c r="BJ283" s="547"/>
      <c r="BK283" s="547"/>
      <c r="BL283" s="547"/>
      <c r="BM283" s="547"/>
      <c r="BN283" s="547"/>
      <c r="BO283" s="547"/>
      <c r="BP283" s="547"/>
      <c r="BQ283" s="547"/>
      <c r="BR283" s="547"/>
      <c r="BS283" s="547"/>
      <c r="BT283" s="547"/>
      <c r="BU283" s="547"/>
      <c r="BV283" s="547"/>
      <c r="BW283" s="547"/>
      <c r="BX283" s="547"/>
      <c r="BY283" s="547"/>
      <c r="BZ283" s="547"/>
      <c r="CA283" s="547"/>
      <c r="CB283" s="547"/>
      <c r="CC283" s="547"/>
    </row>
    <row r="284" spans="1:81">
      <c r="A284" s="547"/>
      <c r="B284" s="547"/>
      <c r="C284" s="547"/>
      <c r="D284" s="547"/>
      <c r="E284" s="547"/>
      <c r="F284" s="547"/>
      <c r="G284" s="547"/>
      <c r="H284" s="547"/>
      <c r="I284" s="547"/>
      <c r="J284" s="547"/>
      <c r="K284" s="547"/>
      <c r="L284" s="547"/>
      <c r="M284" s="547"/>
      <c r="N284" s="547"/>
      <c r="O284" s="547"/>
      <c r="P284" s="547"/>
      <c r="Q284" s="547"/>
      <c r="R284" s="547"/>
      <c r="S284" s="547"/>
      <c r="T284" s="547"/>
      <c r="U284" s="547"/>
      <c r="V284" s="547"/>
      <c r="W284" s="547"/>
      <c r="X284" s="547"/>
      <c r="Y284" s="547"/>
      <c r="Z284" s="547"/>
      <c r="AA284" s="547"/>
      <c r="AB284" s="547"/>
      <c r="AC284" s="547"/>
      <c r="AD284" s="547"/>
      <c r="AE284" s="547"/>
      <c r="AF284" s="547"/>
      <c r="AG284" s="547"/>
      <c r="AH284" s="547"/>
      <c r="AI284" s="547"/>
      <c r="AJ284" s="547"/>
      <c r="AK284" s="547"/>
      <c r="AL284" s="547"/>
      <c r="AM284" s="547"/>
      <c r="AN284" s="547"/>
      <c r="AO284" s="547"/>
      <c r="AP284" s="547"/>
      <c r="AQ284" s="547"/>
      <c r="AR284" s="547"/>
      <c r="AS284" s="547"/>
      <c r="AT284" s="547"/>
      <c r="AU284" s="547"/>
      <c r="AV284" s="547"/>
      <c r="AW284" s="547"/>
      <c r="AX284" s="547"/>
      <c r="AY284" s="547"/>
      <c r="AZ284" s="547"/>
      <c r="BA284" s="547"/>
      <c r="BB284" s="547"/>
      <c r="BC284" s="547"/>
      <c r="BD284" s="547"/>
      <c r="BE284" s="547"/>
      <c r="BF284" s="547"/>
      <c r="BG284" s="547"/>
      <c r="BH284" s="547"/>
      <c r="BI284" s="547"/>
      <c r="BJ284" s="547"/>
      <c r="BK284" s="547"/>
      <c r="BL284" s="547"/>
      <c r="BM284" s="547"/>
      <c r="BN284" s="547"/>
      <c r="BO284" s="547"/>
      <c r="BP284" s="547"/>
      <c r="BQ284" s="547"/>
      <c r="BR284" s="547"/>
      <c r="BS284" s="547"/>
      <c r="BT284" s="547"/>
      <c r="BU284" s="547"/>
      <c r="BV284" s="547"/>
      <c r="BW284" s="547"/>
      <c r="BX284" s="547"/>
      <c r="BY284" s="547"/>
      <c r="BZ284" s="547"/>
      <c r="CA284" s="547"/>
      <c r="CB284" s="547"/>
      <c r="CC284" s="547"/>
    </row>
    <row r="285" spans="1:81">
      <c r="A285" s="547"/>
      <c r="B285" s="547"/>
      <c r="C285" s="547"/>
      <c r="D285" s="547"/>
      <c r="E285" s="547"/>
      <c r="F285" s="547"/>
      <c r="G285" s="547"/>
      <c r="H285" s="547"/>
      <c r="I285" s="547"/>
      <c r="J285" s="547"/>
      <c r="K285" s="547"/>
      <c r="L285" s="547"/>
      <c r="M285" s="547"/>
      <c r="N285" s="547"/>
      <c r="O285" s="547"/>
      <c r="P285" s="547"/>
      <c r="Q285" s="547"/>
      <c r="R285" s="547"/>
      <c r="S285" s="547"/>
      <c r="T285" s="547"/>
      <c r="U285" s="547"/>
      <c r="V285" s="547"/>
      <c r="W285" s="547"/>
      <c r="X285" s="547"/>
      <c r="Y285" s="547"/>
      <c r="Z285" s="547"/>
      <c r="AA285" s="547"/>
      <c r="AB285" s="547"/>
      <c r="AC285" s="547"/>
      <c r="AD285" s="547"/>
      <c r="AE285" s="547"/>
      <c r="AF285" s="547"/>
      <c r="AG285" s="547"/>
      <c r="AH285" s="547"/>
      <c r="AI285" s="547"/>
      <c r="AJ285" s="547"/>
      <c r="AK285" s="547"/>
      <c r="AL285" s="547"/>
      <c r="AM285" s="547"/>
      <c r="AN285" s="547"/>
      <c r="AO285" s="547"/>
      <c r="AP285" s="547"/>
      <c r="AQ285" s="547"/>
      <c r="AR285" s="547"/>
      <c r="AS285" s="547"/>
      <c r="AT285" s="547"/>
      <c r="AU285" s="547"/>
      <c r="AV285" s="547"/>
      <c r="AW285" s="547"/>
      <c r="AX285" s="547"/>
      <c r="AY285" s="547"/>
      <c r="AZ285" s="547"/>
      <c r="BA285" s="547"/>
      <c r="BB285" s="547"/>
      <c r="BC285" s="547"/>
      <c r="BD285" s="547"/>
      <c r="BE285" s="547"/>
      <c r="BF285" s="547"/>
      <c r="BG285" s="547"/>
      <c r="BH285" s="547"/>
      <c r="BI285" s="547"/>
      <c r="BJ285" s="547"/>
      <c r="BK285" s="547"/>
      <c r="BL285" s="547"/>
      <c r="BM285" s="547"/>
      <c r="BN285" s="547"/>
      <c r="BO285" s="547"/>
      <c r="BP285" s="547"/>
      <c r="BQ285" s="547"/>
      <c r="BR285" s="547"/>
      <c r="BS285" s="547"/>
      <c r="BT285" s="547"/>
      <c r="BU285" s="547"/>
      <c r="BV285" s="547"/>
      <c r="BW285" s="547"/>
      <c r="BX285" s="547"/>
      <c r="BY285" s="547"/>
      <c r="BZ285" s="547"/>
      <c r="CA285" s="547"/>
      <c r="CB285" s="547"/>
      <c r="CC285" s="547"/>
    </row>
    <row r="286" spans="1:81">
      <c r="A286" s="547"/>
      <c r="B286" s="547"/>
      <c r="C286" s="547"/>
      <c r="D286" s="547"/>
      <c r="E286" s="547"/>
      <c r="F286" s="547"/>
      <c r="G286" s="547"/>
      <c r="H286" s="547"/>
      <c r="I286" s="547"/>
      <c r="J286" s="547"/>
      <c r="K286" s="547"/>
      <c r="L286" s="547"/>
      <c r="M286" s="547"/>
      <c r="N286" s="547"/>
      <c r="O286" s="547"/>
      <c r="P286" s="547"/>
      <c r="Q286" s="547"/>
      <c r="R286" s="547"/>
      <c r="S286" s="547"/>
      <c r="T286" s="547"/>
      <c r="U286" s="547"/>
      <c r="V286" s="547"/>
      <c r="W286" s="547"/>
      <c r="X286" s="547"/>
      <c r="Y286" s="547"/>
      <c r="Z286" s="547"/>
      <c r="AA286" s="547"/>
      <c r="AB286" s="547"/>
      <c r="AC286" s="547"/>
      <c r="AD286" s="547"/>
      <c r="AE286" s="547"/>
      <c r="AF286" s="547"/>
      <c r="AG286" s="547"/>
      <c r="AH286" s="547"/>
      <c r="AI286" s="547"/>
      <c r="AJ286" s="547"/>
      <c r="AK286" s="547"/>
      <c r="AL286" s="547"/>
      <c r="AM286" s="547"/>
      <c r="AN286" s="547"/>
      <c r="AO286" s="547"/>
      <c r="AP286" s="547"/>
      <c r="AQ286" s="547"/>
      <c r="AR286" s="547"/>
      <c r="AS286" s="547"/>
      <c r="AT286" s="547"/>
      <c r="AU286" s="547"/>
      <c r="AV286" s="547"/>
      <c r="AW286" s="547"/>
      <c r="AX286" s="547"/>
      <c r="AY286" s="547"/>
      <c r="AZ286" s="547"/>
      <c r="BA286" s="547"/>
      <c r="BB286" s="547"/>
      <c r="BC286" s="547"/>
      <c r="BD286" s="547"/>
      <c r="BE286" s="547"/>
      <c r="BF286" s="547"/>
      <c r="BG286" s="547"/>
      <c r="BH286" s="547"/>
      <c r="BI286" s="547"/>
      <c r="BJ286" s="547"/>
      <c r="BK286" s="547"/>
      <c r="BL286" s="547"/>
      <c r="BM286" s="547"/>
      <c r="BN286" s="547"/>
      <c r="BO286" s="547"/>
      <c r="BP286" s="547"/>
      <c r="BQ286" s="547"/>
      <c r="BR286" s="547"/>
      <c r="BS286" s="547"/>
      <c r="BT286" s="547"/>
      <c r="BU286" s="547"/>
      <c r="BV286" s="547"/>
      <c r="BW286" s="547"/>
      <c r="BX286" s="547"/>
      <c r="BY286" s="547"/>
      <c r="BZ286" s="547"/>
      <c r="CA286" s="547"/>
      <c r="CB286" s="547"/>
      <c r="CC286" s="547"/>
    </row>
    <row r="287" spans="1:81">
      <c r="A287" s="547"/>
      <c r="B287" s="547"/>
      <c r="C287" s="547"/>
      <c r="D287" s="547"/>
      <c r="E287" s="547"/>
      <c r="F287" s="547"/>
      <c r="G287" s="547"/>
      <c r="H287" s="547"/>
      <c r="I287" s="547"/>
      <c r="J287" s="547"/>
      <c r="K287" s="547"/>
      <c r="L287" s="547"/>
      <c r="M287" s="547"/>
      <c r="N287" s="547"/>
      <c r="O287" s="547"/>
      <c r="P287" s="547"/>
      <c r="Q287" s="547"/>
      <c r="R287" s="547"/>
      <c r="S287" s="547"/>
      <c r="T287" s="547"/>
      <c r="U287" s="547"/>
      <c r="V287" s="547"/>
      <c r="W287" s="547"/>
      <c r="X287" s="547"/>
      <c r="Y287" s="547"/>
      <c r="Z287" s="547"/>
      <c r="AA287" s="547"/>
      <c r="AB287" s="547"/>
      <c r="AC287" s="547"/>
      <c r="AD287" s="547"/>
      <c r="AE287" s="547"/>
      <c r="AF287" s="547"/>
      <c r="AG287" s="547"/>
      <c r="AH287" s="547"/>
      <c r="AI287" s="547"/>
      <c r="AJ287" s="547"/>
      <c r="AK287" s="547"/>
      <c r="AL287" s="547"/>
      <c r="AM287" s="547"/>
      <c r="AN287" s="547"/>
      <c r="AO287" s="547"/>
      <c r="AP287" s="547"/>
      <c r="AQ287" s="547"/>
      <c r="AR287" s="547"/>
      <c r="AS287" s="547"/>
      <c r="AT287" s="547"/>
      <c r="AU287" s="547"/>
      <c r="AV287" s="547"/>
      <c r="AW287" s="547"/>
      <c r="AX287" s="547"/>
      <c r="AY287" s="547"/>
      <c r="AZ287" s="547"/>
      <c r="BA287" s="547"/>
      <c r="BB287" s="547"/>
      <c r="BC287" s="547"/>
      <c r="BD287" s="547"/>
      <c r="BE287" s="547"/>
      <c r="BF287" s="547"/>
      <c r="BG287" s="547"/>
      <c r="BH287" s="547"/>
      <c r="BI287" s="547"/>
      <c r="BJ287" s="547"/>
      <c r="BK287" s="547"/>
      <c r="BL287" s="547"/>
      <c r="BM287" s="547"/>
      <c r="BN287" s="547"/>
      <c r="BO287" s="547"/>
      <c r="BP287" s="547"/>
      <c r="BQ287" s="547"/>
      <c r="BR287" s="547"/>
      <c r="BS287" s="547"/>
      <c r="BT287" s="547"/>
      <c r="BU287" s="547"/>
      <c r="BV287" s="547"/>
      <c r="BW287" s="547"/>
      <c r="BX287" s="547"/>
      <c r="BY287" s="547"/>
      <c r="BZ287" s="547"/>
      <c r="CA287" s="547"/>
      <c r="CB287" s="547"/>
      <c r="CC287" s="547"/>
    </row>
    <row r="288" spans="1:81">
      <c r="A288" s="547"/>
      <c r="B288" s="547"/>
      <c r="C288" s="547"/>
      <c r="D288" s="547"/>
      <c r="E288" s="547"/>
      <c r="F288" s="547"/>
      <c r="G288" s="547"/>
      <c r="H288" s="547"/>
      <c r="I288" s="547"/>
      <c r="J288" s="547"/>
      <c r="K288" s="547"/>
      <c r="L288" s="547"/>
      <c r="M288" s="547"/>
      <c r="N288" s="547"/>
      <c r="O288" s="547"/>
      <c r="P288" s="547"/>
      <c r="Q288" s="547"/>
      <c r="R288" s="547"/>
      <c r="S288" s="547"/>
      <c r="T288" s="547"/>
      <c r="U288" s="547"/>
      <c r="V288" s="547"/>
      <c r="W288" s="547"/>
      <c r="X288" s="547"/>
      <c r="Y288" s="547"/>
      <c r="Z288" s="547"/>
      <c r="AA288" s="547"/>
      <c r="AB288" s="547"/>
      <c r="AC288" s="547"/>
      <c r="AD288" s="547"/>
      <c r="AE288" s="547"/>
      <c r="AF288" s="547"/>
      <c r="AG288" s="547"/>
      <c r="AH288" s="547"/>
      <c r="AI288" s="547"/>
      <c r="AJ288" s="547"/>
      <c r="AK288" s="547"/>
      <c r="AL288" s="547"/>
      <c r="AM288" s="547"/>
      <c r="AN288" s="547"/>
      <c r="AO288" s="547"/>
      <c r="AP288" s="547"/>
      <c r="AQ288" s="547"/>
      <c r="AR288" s="547"/>
      <c r="AS288" s="547"/>
      <c r="AT288" s="547"/>
      <c r="AU288" s="547"/>
      <c r="AV288" s="547"/>
      <c r="AW288" s="547"/>
      <c r="AX288" s="547"/>
      <c r="AY288" s="547"/>
      <c r="AZ288" s="547"/>
      <c r="BA288" s="547"/>
      <c r="BB288" s="547"/>
      <c r="BC288" s="547"/>
      <c r="BD288" s="547"/>
      <c r="BE288" s="547"/>
      <c r="BF288" s="547"/>
      <c r="BG288" s="547"/>
      <c r="BH288" s="547"/>
      <c r="BI288" s="547"/>
      <c r="BJ288" s="547"/>
      <c r="BK288" s="547"/>
      <c r="BL288" s="547"/>
      <c r="BM288" s="547"/>
      <c r="BN288" s="547"/>
      <c r="BO288" s="547"/>
      <c r="BP288" s="547"/>
      <c r="BQ288" s="547"/>
      <c r="BR288" s="547"/>
      <c r="BS288" s="547"/>
      <c r="BT288" s="547"/>
      <c r="BU288" s="547"/>
      <c r="BV288" s="547"/>
      <c r="BW288" s="547"/>
      <c r="BX288" s="547"/>
      <c r="BY288" s="547"/>
      <c r="BZ288" s="547"/>
      <c r="CA288" s="547"/>
      <c r="CB288" s="547"/>
      <c r="CC288" s="547"/>
    </row>
    <row r="289" spans="1:81">
      <c r="A289" s="547"/>
      <c r="B289" s="547"/>
      <c r="C289" s="547"/>
      <c r="D289" s="547"/>
      <c r="E289" s="547"/>
      <c r="F289" s="547"/>
      <c r="G289" s="547"/>
      <c r="H289" s="547"/>
      <c r="I289" s="547"/>
      <c r="J289" s="547"/>
      <c r="K289" s="547"/>
      <c r="L289" s="547"/>
      <c r="M289" s="547"/>
      <c r="N289" s="547"/>
      <c r="O289" s="547"/>
      <c r="P289" s="547"/>
      <c r="Q289" s="547"/>
      <c r="R289" s="547"/>
      <c r="S289" s="547"/>
      <c r="T289" s="547"/>
      <c r="U289" s="547"/>
      <c r="V289" s="547"/>
      <c r="W289" s="547"/>
      <c r="X289" s="547"/>
      <c r="Y289" s="547"/>
      <c r="Z289" s="547"/>
      <c r="AA289" s="547"/>
      <c r="AB289" s="547"/>
      <c r="AC289" s="547"/>
      <c r="AD289" s="547"/>
      <c r="AE289" s="547"/>
      <c r="AF289" s="547"/>
      <c r="AG289" s="547"/>
      <c r="AH289" s="547"/>
      <c r="AI289" s="547"/>
      <c r="AJ289" s="547"/>
      <c r="AK289" s="547"/>
      <c r="AL289" s="547"/>
      <c r="AM289" s="547"/>
      <c r="AN289" s="547"/>
      <c r="AO289" s="547"/>
      <c r="AP289" s="547"/>
      <c r="AQ289" s="547"/>
      <c r="AR289" s="547"/>
      <c r="AS289" s="547"/>
      <c r="AT289" s="547"/>
      <c r="AU289" s="547"/>
      <c r="AV289" s="547"/>
      <c r="AW289" s="547"/>
      <c r="AX289" s="547"/>
      <c r="AY289" s="547"/>
      <c r="AZ289" s="547"/>
      <c r="BA289" s="547"/>
      <c r="BB289" s="547"/>
      <c r="BC289" s="547"/>
      <c r="BD289" s="547"/>
      <c r="BE289" s="547"/>
      <c r="BF289" s="547"/>
      <c r="BG289" s="547"/>
      <c r="BH289" s="547"/>
      <c r="BI289" s="547"/>
      <c r="BJ289" s="547"/>
      <c r="BK289" s="547"/>
      <c r="BL289" s="547"/>
      <c r="BM289" s="547"/>
      <c r="BN289" s="547"/>
      <c r="BO289" s="547"/>
      <c r="BP289" s="547"/>
      <c r="BQ289" s="547"/>
      <c r="BR289" s="547"/>
      <c r="BS289" s="547"/>
      <c r="BT289" s="547"/>
      <c r="BU289" s="547"/>
      <c r="BV289" s="547"/>
      <c r="BW289" s="547"/>
      <c r="BX289" s="547"/>
      <c r="BY289" s="547"/>
      <c r="BZ289" s="547"/>
      <c r="CA289" s="547"/>
      <c r="CB289" s="547"/>
      <c r="CC289" s="547"/>
    </row>
    <row r="290" spans="1:81">
      <c r="A290" s="547"/>
      <c r="B290" s="547"/>
      <c r="C290" s="547"/>
      <c r="D290" s="547"/>
      <c r="E290" s="547"/>
      <c r="F290" s="547"/>
      <c r="G290" s="547"/>
      <c r="H290" s="547"/>
      <c r="I290" s="547"/>
      <c r="J290" s="547"/>
      <c r="K290" s="547"/>
      <c r="L290" s="547"/>
      <c r="M290" s="547"/>
      <c r="N290" s="547"/>
      <c r="O290" s="547"/>
      <c r="P290" s="547"/>
      <c r="Q290" s="547"/>
      <c r="R290" s="547"/>
      <c r="S290" s="547"/>
      <c r="T290" s="547"/>
      <c r="U290" s="547"/>
      <c r="V290" s="547"/>
      <c r="W290" s="547"/>
      <c r="X290" s="547"/>
      <c r="Y290" s="547"/>
      <c r="Z290" s="547"/>
      <c r="AA290" s="547"/>
      <c r="AB290" s="547"/>
      <c r="AC290" s="547"/>
      <c r="AD290" s="547"/>
      <c r="AE290" s="547"/>
      <c r="AF290" s="547"/>
      <c r="AG290" s="547"/>
      <c r="AH290" s="547"/>
      <c r="AI290" s="547"/>
      <c r="AJ290" s="547"/>
      <c r="AK290" s="547"/>
      <c r="AL290" s="547"/>
      <c r="AM290" s="547"/>
      <c r="AN290" s="547"/>
      <c r="AO290" s="547"/>
      <c r="AP290" s="547"/>
      <c r="AQ290" s="547"/>
      <c r="AR290" s="547"/>
      <c r="AS290" s="547"/>
      <c r="AT290" s="547"/>
      <c r="AU290" s="547"/>
      <c r="AV290" s="547"/>
      <c r="AW290" s="547"/>
      <c r="AX290" s="547"/>
      <c r="AY290" s="547"/>
      <c r="AZ290" s="547"/>
      <c r="BA290" s="547"/>
      <c r="BB290" s="547"/>
      <c r="BC290" s="547"/>
      <c r="BD290" s="547"/>
      <c r="BE290" s="547"/>
      <c r="BF290" s="547"/>
      <c r="BG290" s="547"/>
      <c r="BH290" s="547"/>
      <c r="BI290" s="547"/>
      <c r="BJ290" s="547"/>
      <c r="BK290" s="547"/>
      <c r="BL290" s="547"/>
      <c r="BM290" s="547"/>
      <c r="BN290" s="547"/>
      <c r="BO290" s="547"/>
      <c r="BP290" s="547"/>
      <c r="BQ290" s="547"/>
      <c r="BR290" s="547"/>
      <c r="BS290" s="547"/>
      <c r="BT290" s="547"/>
      <c r="BU290" s="547"/>
      <c r="BV290" s="547"/>
      <c r="BW290" s="547"/>
      <c r="BX290" s="547"/>
      <c r="BY290" s="547"/>
      <c r="BZ290" s="547"/>
      <c r="CA290" s="547"/>
      <c r="CB290" s="547"/>
      <c r="CC290" s="547"/>
    </row>
    <row r="291" spans="1:81">
      <c r="A291" s="547"/>
      <c r="B291" s="547"/>
      <c r="C291" s="547"/>
      <c r="D291" s="547"/>
      <c r="E291" s="547"/>
      <c r="F291" s="547"/>
      <c r="G291" s="547"/>
      <c r="H291" s="547"/>
      <c r="I291" s="547"/>
      <c r="J291" s="547"/>
      <c r="K291" s="547"/>
      <c r="L291" s="547"/>
      <c r="M291" s="547"/>
      <c r="N291" s="547"/>
      <c r="O291" s="547"/>
      <c r="P291" s="547"/>
      <c r="Q291" s="547"/>
      <c r="R291" s="547"/>
      <c r="S291" s="547"/>
      <c r="T291" s="547"/>
      <c r="U291" s="547"/>
      <c r="V291" s="547"/>
      <c r="W291" s="547"/>
      <c r="X291" s="547"/>
      <c r="Y291" s="547"/>
      <c r="Z291" s="547"/>
      <c r="AA291" s="547"/>
      <c r="AB291" s="547"/>
      <c r="AC291" s="547"/>
      <c r="AD291" s="547"/>
      <c r="AE291" s="547"/>
      <c r="AF291" s="547"/>
      <c r="AG291" s="547"/>
      <c r="AH291" s="547"/>
      <c r="AI291" s="547"/>
      <c r="AJ291" s="547"/>
      <c r="AK291" s="547"/>
      <c r="AL291" s="547"/>
      <c r="AM291" s="547"/>
      <c r="AN291" s="547"/>
      <c r="AO291" s="547"/>
      <c r="AP291" s="547"/>
      <c r="AQ291" s="547"/>
      <c r="AR291" s="547"/>
      <c r="AS291" s="547"/>
      <c r="AT291" s="547"/>
      <c r="AU291" s="547"/>
      <c r="AV291" s="547"/>
      <c r="AW291" s="547"/>
      <c r="AX291" s="547"/>
      <c r="AY291" s="547"/>
      <c r="AZ291" s="547"/>
      <c r="BA291" s="547"/>
      <c r="BB291" s="547"/>
      <c r="BC291" s="547"/>
      <c r="BD291" s="547"/>
      <c r="BE291" s="547"/>
      <c r="BF291" s="547"/>
      <c r="BG291" s="547"/>
      <c r="BH291" s="547"/>
      <c r="BI291" s="547"/>
      <c r="BJ291" s="547"/>
      <c r="BK291" s="547"/>
      <c r="BL291" s="547"/>
      <c r="BM291" s="547"/>
      <c r="BN291" s="547"/>
      <c r="BO291" s="547"/>
      <c r="BP291" s="547"/>
      <c r="BQ291" s="547"/>
      <c r="BR291" s="547"/>
      <c r="BS291" s="547"/>
      <c r="BT291" s="547"/>
      <c r="BU291" s="547"/>
      <c r="BV291" s="547"/>
      <c r="BW291" s="547"/>
      <c r="BX291" s="547"/>
      <c r="BY291" s="547"/>
      <c r="BZ291" s="547"/>
      <c r="CA291" s="547"/>
      <c r="CB291" s="547"/>
      <c r="CC291" s="547"/>
    </row>
    <row r="292" spans="1:81">
      <c r="A292" s="547"/>
      <c r="B292" s="547"/>
      <c r="C292" s="547"/>
      <c r="D292" s="547"/>
      <c r="E292" s="547"/>
      <c r="F292" s="547"/>
      <c r="G292" s="547"/>
      <c r="H292" s="547"/>
      <c r="I292" s="547"/>
      <c r="J292" s="547"/>
      <c r="K292" s="547"/>
      <c r="L292" s="547"/>
      <c r="M292" s="547"/>
      <c r="N292" s="547"/>
      <c r="O292" s="547"/>
      <c r="P292" s="547"/>
      <c r="Q292" s="547"/>
      <c r="R292" s="547"/>
      <c r="S292" s="547"/>
      <c r="T292" s="547"/>
      <c r="U292" s="547"/>
      <c r="V292" s="547"/>
      <c r="W292" s="547"/>
      <c r="X292" s="547"/>
      <c r="Y292" s="547"/>
      <c r="Z292" s="547"/>
      <c r="AA292" s="547"/>
      <c r="AB292" s="547"/>
      <c r="AC292" s="547"/>
      <c r="AD292" s="547"/>
      <c r="AE292" s="547"/>
      <c r="AF292" s="547"/>
      <c r="AG292" s="547"/>
      <c r="AH292" s="547"/>
      <c r="AI292" s="547"/>
      <c r="AJ292" s="547"/>
      <c r="AK292" s="547"/>
      <c r="AL292" s="547"/>
      <c r="AM292" s="547"/>
      <c r="AN292" s="547"/>
      <c r="AO292" s="547"/>
      <c r="AP292" s="547"/>
      <c r="AQ292" s="547"/>
      <c r="AR292" s="547"/>
      <c r="AS292" s="547"/>
      <c r="AT292" s="547"/>
      <c r="AU292" s="547"/>
      <c r="AV292" s="547"/>
      <c r="AW292" s="547"/>
      <c r="AX292" s="547"/>
      <c r="AY292" s="547"/>
      <c r="AZ292" s="547"/>
      <c r="BA292" s="547"/>
      <c r="BB292" s="547"/>
      <c r="BC292" s="547"/>
      <c r="BD292" s="547"/>
      <c r="BE292" s="547"/>
      <c r="BF292" s="547"/>
      <c r="BG292" s="547"/>
      <c r="BH292" s="547"/>
      <c r="BI292" s="547"/>
      <c r="BJ292" s="547"/>
      <c r="BK292" s="547"/>
      <c r="BL292" s="547"/>
      <c r="BM292" s="547"/>
      <c r="BN292" s="547"/>
      <c r="BO292" s="547"/>
      <c r="BP292" s="547"/>
      <c r="BQ292" s="547"/>
      <c r="BR292" s="547"/>
      <c r="BS292" s="547"/>
      <c r="BT292" s="547"/>
      <c r="BU292" s="547"/>
      <c r="BV292" s="547"/>
      <c r="BW292" s="547"/>
      <c r="BX292" s="547"/>
      <c r="BY292" s="547"/>
      <c r="BZ292" s="547"/>
      <c r="CA292" s="547"/>
      <c r="CB292" s="547"/>
      <c r="CC292" s="547"/>
    </row>
    <row r="293" spans="1:81">
      <c r="A293" s="547"/>
      <c r="B293" s="547"/>
      <c r="C293" s="547"/>
      <c r="D293" s="547"/>
      <c r="E293" s="547"/>
      <c r="F293" s="547"/>
      <c r="G293" s="547"/>
      <c r="H293" s="547"/>
      <c r="I293" s="547"/>
      <c r="J293" s="547"/>
      <c r="K293" s="547"/>
      <c r="L293" s="547"/>
      <c r="M293" s="547"/>
      <c r="N293" s="547"/>
      <c r="O293" s="547"/>
      <c r="P293" s="547"/>
      <c r="Q293" s="547"/>
      <c r="R293" s="547"/>
      <c r="S293" s="547"/>
      <c r="T293" s="547"/>
      <c r="U293" s="547"/>
      <c r="V293" s="547"/>
      <c r="W293" s="547"/>
      <c r="X293" s="547"/>
      <c r="Y293" s="547"/>
      <c r="Z293" s="547"/>
      <c r="AA293" s="547"/>
      <c r="AB293" s="547"/>
      <c r="AC293" s="547"/>
      <c r="AD293" s="547"/>
      <c r="AE293" s="547"/>
      <c r="AF293" s="547"/>
      <c r="AG293" s="547"/>
      <c r="AH293" s="547"/>
      <c r="AI293" s="547"/>
      <c r="AJ293" s="547"/>
      <c r="AK293" s="547"/>
      <c r="AL293" s="547"/>
      <c r="AM293" s="547"/>
      <c r="AN293" s="547"/>
      <c r="AO293" s="547"/>
      <c r="AP293" s="547"/>
      <c r="AQ293" s="547"/>
      <c r="AR293" s="547"/>
      <c r="AS293" s="547"/>
      <c r="AT293" s="547"/>
      <c r="AU293" s="547"/>
      <c r="AV293" s="547"/>
      <c r="AW293" s="547"/>
      <c r="AX293" s="547"/>
      <c r="AY293" s="547"/>
      <c r="AZ293" s="547"/>
      <c r="BA293" s="547"/>
      <c r="BB293" s="547"/>
      <c r="BC293" s="547"/>
      <c r="BD293" s="547"/>
      <c r="BE293" s="547"/>
      <c r="BF293" s="547"/>
      <c r="BG293" s="547"/>
      <c r="BH293" s="547"/>
      <c r="BI293" s="547"/>
      <c r="BJ293" s="547"/>
      <c r="BK293" s="547"/>
      <c r="BL293" s="547"/>
      <c r="BM293" s="547"/>
      <c r="BN293" s="547"/>
      <c r="BO293" s="547"/>
      <c r="BP293" s="547"/>
      <c r="BQ293" s="547"/>
      <c r="BR293" s="547"/>
      <c r="BS293" s="547"/>
      <c r="BT293" s="547"/>
      <c r="BU293" s="547"/>
      <c r="BV293" s="547"/>
      <c r="BW293" s="547"/>
      <c r="BX293" s="547"/>
      <c r="BY293" s="547"/>
      <c r="BZ293" s="547"/>
      <c r="CA293" s="547"/>
      <c r="CB293" s="547"/>
      <c r="CC293" s="547"/>
    </row>
    <row r="294" spans="1:81">
      <c r="A294" s="547"/>
      <c r="B294" s="547"/>
      <c r="C294" s="547"/>
      <c r="D294" s="547"/>
      <c r="E294" s="547"/>
      <c r="F294" s="547"/>
      <c r="G294" s="547"/>
      <c r="H294" s="547"/>
      <c r="I294" s="547"/>
      <c r="J294" s="547"/>
      <c r="K294" s="547"/>
      <c r="L294" s="547"/>
      <c r="M294" s="547"/>
      <c r="N294" s="547"/>
      <c r="O294" s="547"/>
      <c r="P294" s="547"/>
      <c r="Q294" s="547"/>
      <c r="R294" s="547"/>
      <c r="S294" s="547"/>
      <c r="T294" s="547"/>
      <c r="U294" s="547"/>
      <c r="V294" s="547"/>
      <c r="W294" s="547"/>
      <c r="X294" s="547"/>
      <c r="Y294" s="547"/>
      <c r="Z294" s="547"/>
      <c r="AA294" s="547"/>
      <c r="AB294" s="547"/>
      <c r="AC294" s="547"/>
      <c r="AD294" s="547"/>
      <c r="AE294" s="547"/>
      <c r="AF294" s="547"/>
      <c r="AG294" s="547"/>
      <c r="AH294" s="547"/>
      <c r="AI294" s="547"/>
      <c r="AJ294" s="547"/>
      <c r="AK294" s="547"/>
      <c r="AL294" s="547"/>
      <c r="AM294" s="547"/>
      <c r="AN294" s="547"/>
      <c r="AO294" s="547"/>
      <c r="AP294" s="547"/>
      <c r="AQ294" s="547"/>
      <c r="AR294" s="547"/>
      <c r="AS294" s="547"/>
      <c r="AT294" s="547"/>
      <c r="AU294" s="547"/>
      <c r="AV294" s="547"/>
      <c r="AW294" s="547"/>
      <c r="AX294" s="547"/>
      <c r="AY294" s="547"/>
      <c r="AZ294" s="547"/>
      <c r="BA294" s="547"/>
      <c r="BB294" s="547"/>
      <c r="BC294" s="547"/>
      <c r="BD294" s="547"/>
      <c r="BE294" s="547"/>
      <c r="BF294" s="547"/>
      <c r="BG294" s="547"/>
      <c r="BH294" s="547"/>
      <c r="BI294" s="547"/>
      <c r="BJ294" s="547"/>
      <c r="BK294" s="547"/>
      <c r="BL294" s="547"/>
      <c r="BM294" s="547"/>
      <c r="BN294" s="547"/>
      <c r="BO294" s="547"/>
      <c r="BP294" s="547"/>
      <c r="BQ294" s="547"/>
      <c r="BR294" s="547"/>
      <c r="BS294" s="547"/>
      <c r="BT294" s="547"/>
      <c r="BU294" s="547"/>
      <c r="BV294" s="547"/>
      <c r="BW294" s="547"/>
      <c r="BX294" s="547"/>
      <c r="BY294" s="547"/>
      <c r="BZ294" s="547"/>
      <c r="CA294" s="547"/>
      <c r="CB294" s="547"/>
      <c r="CC294" s="547"/>
    </row>
    <row r="295" spans="1:81">
      <c r="A295" s="547"/>
      <c r="B295" s="547"/>
      <c r="C295" s="547"/>
      <c r="D295" s="547"/>
      <c r="E295" s="547"/>
      <c r="F295" s="547"/>
      <c r="G295" s="547"/>
      <c r="H295" s="547"/>
      <c r="I295" s="547"/>
      <c r="J295" s="547"/>
      <c r="K295" s="547"/>
      <c r="L295" s="547"/>
      <c r="M295" s="547"/>
      <c r="N295" s="547"/>
      <c r="O295" s="547"/>
      <c r="P295" s="547"/>
      <c r="Q295" s="547"/>
      <c r="R295" s="547"/>
      <c r="S295" s="547"/>
      <c r="T295" s="547"/>
      <c r="U295" s="547"/>
      <c r="V295" s="547"/>
      <c r="W295" s="547"/>
      <c r="X295" s="547"/>
      <c r="Y295" s="547"/>
      <c r="Z295" s="547"/>
      <c r="AA295" s="547"/>
      <c r="AB295" s="547"/>
      <c r="AC295" s="547"/>
      <c r="AD295" s="547"/>
      <c r="AE295" s="547"/>
      <c r="AF295" s="547"/>
      <c r="AG295" s="547"/>
      <c r="AH295" s="547"/>
      <c r="AI295" s="547"/>
      <c r="AJ295" s="547"/>
      <c r="AK295" s="547"/>
      <c r="AL295" s="547"/>
      <c r="AM295" s="547"/>
      <c r="AN295" s="547"/>
      <c r="AO295" s="547"/>
      <c r="AP295" s="547"/>
      <c r="AQ295" s="547"/>
      <c r="AR295" s="547"/>
      <c r="AS295" s="547"/>
      <c r="AT295" s="547"/>
      <c r="AU295" s="547"/>
      <c r="AV295" s="547"/>
      <c r="AW295" s="547"/>
      <c r="AX295" s="547"/>
      <c r="AY295" s="547"/>
      <c r="AZ295" s="547"/>
      <c r="BA295" s="547"/>
      <c r="BB295" s="547"/>
      <c r="BC295" s="547"/>
      <c r="BD295" s="547"/>
      <c r="BE295" s="547"/>
      <c r="BF295" s="547"/>
      <c r="BG295" s="547"/>
      <c r="BH295" s="547"/>
      <c r="BI295" s="547"/>
      <c r="BJ295" s="547"/>
      <c r="BK295" s="547"/>
      <c r="BL295" s="547"/>
      <c r="BM295" s="547"/>
      <c r="BN295" s="547"/>
      <c r="BO295" s="547"/>
      <c r="BP295" s="547"/>
      <c r="BQ295" s="547"/>
      <c r="BR295" s="547"/>
      <c r="BS295" s="547"/>
      <c r="BT295" s="547"/>
      <c r="BU295" s="547"/>
      <c r="BV295" s="547"/>
      <c r="BW295" s="547"/>
      <c r="BX295" s="547"/>
      <c r="BY295" s="547"/>
      <c r="BZ295" s="547"/>
      <c r="CA295" s="547"/>
      <c r="CB295" s="547"/>
      <c r="CC295" s="547"/>
    </row>
    <row r="296" spans="1:81">
      <c r="A296" s="547"/>
      <c r="B296" s="547"/>
      <c r="C296" s="547"/>
      <c r="D296" s="547"/>
      <c r="E296" s="547"/>
      <c r="F296" s="547"/>
      <c r="G296" s="547"/>
      <c r="H296" s="547"/>
      <c r="I296" s="547"/>
      <c r="J296" s="547"/>
      <c r="K296" s="547"/>
      <c r="L296" s="547"/>
      <c r="M296" s="547"/>
      <c r="N296" s="547"/>
      <c r="O296" s="547"/>
      <c r="P296" s="547"/>
      <c r="Q296" s="547"/>
      <c r="R296" s="547"/>
      <c r="S296" s="547"/>
      <c r="T296" s="547"/>
      <c r="U296" s="547"/>
      <c r="V296" s="547"/>
      <c r="W296" s="547"/>
      <c r="X296" s="547"/>
      <c r="Y296" s="547"/>
      <c r="Z296" s="547"/>
      <c r="AA296" s="547"/>
      <c r="AB296" s="547"/>
      <c r="AC296" s="547"/>
      <c r="AD296" s="547"/>
      <c r="AE296" s="547"/>
      <c r="AF296" s="547"/>
      <c r="AG296" s="547"/>
      <c r="AH296" s="547"/>
      <c r="AI296" s="547"/>
      <c r="AJ296" s="547"/>
      <c r="AK296" s="547"/>
      <c r="AL296" s="547"/>
      <c r="AM296" s="547"/>
      <c r="AN296" s="547"/>
      <c r="AO296" s="547"/>
      <c r="AP296" s="547"/>
      <c r="AQ296" s="547"/>
      <c r="AR296" s="547"/>
      <c r="AS296" s="547"/>
      <c r="AT296" s="547"/>
      <c r="AU296" s="547"/>
      <c r="AV296" s="547"/>
      <c r="AW296" s="547"/>
      <c r="AX296" s="547"/>
      <c r="AY296" s="547"/>
      <c r="AZ296" s="547"/>
      <c r="BA296" s="547"/>
      <c r="BB296" s="547"/>
      <c r="BC296" s="547"/>
      <c r="BD296" s="547"/>
      <c r="BE296" s="547"/>
      <c r="BF296" s="547"/>
      <c r="BG296" s="547"/>
      <c r="BH296" s="547"/>
      <c r="BI296" s="547"/>
      <c r="BJ296" s="547"/>
      <c r="BK296" s="547"/>
      <c r="BL296" s="547"/>
      <c r="BM296" s="547"/>
      <c r="BN296" s="547"/>
      <c r="BO296" s="547"/>
      <c r="BP296" s="547"/>
      <c r="BQ296" s="547"/>
      <c r="BR296" s="547"/>
      <c r="BS296" s="547"/>
      <c r="BT296" s="547"/>
      <c r="BU296" s="547"/>
      <c r="BV296" s="547"/>
      <c r="BW296" s="547"/>
      <c r="BX296" s="547"/>
      <c r="BY296" s="547"/>
      <c r="BZ296" s="547"/>
      <c r="CA296" s="547"/>
      <c r="CB296" s="547"/>
      <c r="CC296" s="547"/>
    </row>
    <row r="297" spans="1:81">
      <c r="A297" s="547"/>
      <c r="B297" s="547"/>
      <c r="C297" s="547"/>
      <c r="D297" s="547"/>
      <c r="E297" s="547"/>
      <c r="F297" s="547"/>
      <c r="G297" s="547"/>
      <c r="H297" s="547"/>
      <c r="I297" s="547"/>
      <c r="J297" s="547"/>
      <c r="K297" s="547"/>
      <c r="L297" s="547"/>
      <c r="M297" s="547"/>
      <c r="N297" s="547"/>
      <c r="O297" s="547"/>
      <c r="P297" s="547"/>
      <c r="Q297" s="547"/>
      <c r="R297" s="547"/>
      <c r="S297" s="547"/>
      <c r="T297" s="547"/>
      <c r="U297" s="547"/>
      <c r="V297" s="547"/>
      <c r="W297" s="547"/>
      <c r="X297" s="547"/>
      <c r="Y297" s="547"/>
      <c r="Z297" s="547"/>
      <c r="AA297" s="547"/>
      <c r="AB297" s="547"/>
      <c r="AC297" s="547"/>
      <c r="AD297" s="547"/>
      <c r="AE297" s="547"/>
      <c r="AF297" s="547"/>
      <c r="AG297" s="547"/>
      <c r="AH297" s="547"/>
      <c r="AI297" s="547"/>
      <c r="AJ297" s="547"/>
      <c r="AK297" s="547"/>
      <c r="AL297" s="547"/>
      <c r="AM297" s="547"/>
      <c r="AN297" s="547"/>
      <c r="AO297" s="547"/>
      <c r="AP297" s="547"/>
      <c r="AQ297" s="547"/>
      <c r="AR297" s="547"/>
      <c r="AS297" s="547"/>
      <c r="AT297" s="547"/>
      <c r="AU297" s="547"/>
      <c r="AV297" s="547"/>
      <c r="AW297" s="547"/>
      <c r="AX297" s="547"/>
      <c r="AY297" s="547"/>
      <c r="AZ297" s="547"/>
      <c r="BA297" s="547"/>
      <c r="BB297" s="547"/>
      <c r="BC297" s="547"/>
      <c r="BD297" s="547"/>
      <c r="BE297" s="547"/>
      <c r="BF297" s="547"/>
      <c r="BG297" s="547"/>
      <c r="BH297" s="547"/>
      <c r="BI297" s="547"/>
      <c r="BJ297" s="547"/>
      <c r="BK297" s="547"/>
      <c r="BL297" s="547"/>
      <c r="BM297" s="547"/>
      <c r="BN297" s="547"/>
      <c r="BO297" s="547"/>
      <c r="BP297" s="547"/>
      <c r="BQ297" s="547"/>
      <c r="BR297" s="547"/>
      <c r="BS297" s="547"/>
      <c r="BT297" s="547"/>
      <c r="BU297" s="547"/>
      <c r="BV297" s="547"/>
      <c r="BW297" s="547"/>
      <c r="BX297" s="547"/>
      <c r="BY297" s="547"/>
      <c r="BZ297" s="547"/>
      <c r="CA297" s="547"/>
      <c r="CB297" s="547"/>
      <c r="CC297" s="547"/>
    </row>
    <row r="298" spans="1:81">
      <c r="A298" s="547"/>
      <c r="B298" s="547"/>
      <c r="C298" s="547"/>
      <c r="D298" s="547"/>
      <c r="E298" s="547"/>
      <c r="F298" s="547"/>
      <c r="G298" s="547"/>
      <c r="H298" s="547"/>
      <c r="I298" s="547"/>
      <c r="J298" s="547"/>
      <c r="K298" s="547"/>
      <c r="L298" s="547"/>
      <c r="M298" s="547"/>
      <c r="N298" s="547"/>
      <c r="O298" s="547"/>
      <c r="P298" s="547"/>
      <c r="Q298" s="547"/>
      <c r="R298" s="547"/>
      <c r="S298" s="547"/>
      <c r="T298" s="547"/>
      <c r="U298" s="547"/>
      <c r="V298" s="547"/>
      <c r="W298" s="547"/>
      <c r="X298" s="547"/>
      <c r="Y298" s="547"/>
      <c r="Z298" s="547"/>
      <c r="AA298" s="547"/>
      <c r="AB298" s="547"/>
      <c r="AC298" s="547"/>
      <c r="AD298" s="547"/>
      <c r="AE298" s="547"/>
      <c r="AF298" s="547"/>
      <c r="AG298" s="547"/>
      <c r="AH298" s="547"/>
      <c r="AI298" s="547"/>
      <c r="AJ298" s="547"/>
      <c r="AK298" s="547"/>
      <c r="AL298" s="547"/>
      <c r="AM298" s="547"/>
      <c r="AN298" s="547"/>
      <c r="AO298" s="547"/>
      <c r="AP298" s="547"/>
      <c r="AQ298" s="547"/>
      <c r="AR298" s="547"/>
      <c r="AS298" s="547"/>
      <c r="AT298" s="547"/>
      <c r="AU298" s="547"/>
      <c r="AV298" s="547"/>
      <c r="AW298" s="547"/>
      <c r="AX298" s="547"/>
      <c r="AY298" s="547"/>
      <c r="AZ298" s="547"/>
      <c r="BA298" s="547"/>
      <c r="BB298" s="547"/>
      <c r="BC298" s="547"/>
      <c r="BD298" s="547"/>
      <c r="BE298" s="547"/>
      <c r="BF298" s="547"/>
      <c r="BG298" s="547"/>
      <c r="BH298" s="547"/>
      <c r="BI298" s="547"/>
      <c r="BJ298" s="547"/>
      <c r="BK298" s="547"/>
      <c r="BL298" s="547"/>
      <c r="BM298" s="547"/>
      <c r="BN298" s="547"/>
      <c r="BO298" s="547"/>
      <c r="BP298" s="547"/>
      <c r="BQ298" s="547"/>
      <c r="BR298" s="547"/>
      <c r="BS298" s="547"/>
      <c r="BT298" s="547"/>
      <c r="BU298" s="547"/>
      <c r="BV298" s="547"/>
      <c r="BW298" s="547"/>
      <c r="BX298" s="547"/>
      <c r="BY298" s="547"/>
      <c r="BZ298" s="547"/>
      <c r="CA298" s="547"/>
      <c r="CB298" s="547"/>
      <c r="CC298" s="547"/>
    </row>
    <row r="299" spans="1:81">
      <c r="A299" s="547"/>
      <c r="B299" s="547"/>
      <c r="C299" s="547"/>
      <c r="D299" s="547"/>
      <c r="E299" s="547"/>
      <c r="F299" s="547"/>
      <c r="G299" s="547"/>
      <c r="H299" s="547"/>
      <c r="I299" s="547"/>
      <c r="J299" s="547"/>
      <c r="K299" s="547"/>
      <c r="L299" s="547"/>
      <c r="M299" s="547"/>
      <c r="N299" s="547"/>
      <c r="O299" s="547"/>
      <c r="P299" s="547"/>
      <c r="Q299" s="547"/>
      <c r="R299" s="547"/>
      <c r="S299" s="547"/>
      <c r="T299" s="547"/>
      <c r="U299" s="547"/>
      <c r="V299" s="547"/>
      <c r="W299" s="547"/>
      <c r="X299" s="547"/>
      <c r="Y299" s="547"/>
      <c r="Z299" s="547"/>
      <c r="AA299" s="547"/>
      <c r="AB299" s="547"/>
      <c r="AC299" s="547"/>
      <c r="AD299" s="547"/>
      <c r="AE299" s="547"/>
      <c r="AF299" s="547"/>
      <c r="AG299" s="547"/>
      <c r="AH299" s="547"/>
      <c r="AI299" s="547"/>
      <c r="AJ299" s="547"/>
      <c r="AK299" s="547"/>
      <c r="AL299" s="547"/>
      <c r="AM299" s="547"/>
      <c r="AN299" s="547"/>
      <c r="AO299" s="547"/>
      <c r="AP299" s="547"/>
      <c r="AQ299" s="547"/>
      <c r="AR299" s="547"/>
      <c r="AS299" s="547"/>
      <c r="AT299" s="547"/>
      <c r="AU299" s="547"/>
      <c r="AV299" s="547"/>
      <c r="AW299" s="547"/>
      <c r="AX299" s="547"/>
      <c r="AY299" s="547"/>
      <c r="AZ299" s="547"/>
      <c r="BA299" s="547"/>
      <c r="BB299" s="547"/>
      <c r="BC299" s="547"/>
      <c r="BD299" s="547"/>
      <c r="BE299" s="547"/>
      <c r="BF299" s="547"/>
      <c r="BG299" s="547"/>
      <c r="BH299" s="547"/>
      <c r="BI299" s="547"/>
      <c r="BJ299" s="547"/>
      <c r="BK299" s="547"/>
      <c r="BL299" s="547"/>
      <c r="BM299" s="547"/>
      <c r="BN299" s="547"/>
      <c r="BO299" s="547"/>
      <c r="BP299" s="547"/>
      <c r="BQ299" s="547"/>
      <c r="BR299" s="547"/>
      <c r="BS299" s="547"/>
      <c r="BT299" s="547"/>
      <c r="BU299" s="547"/>
      <c r="BV299" s="547"/>
      <c r="BW299" s="547"/>
      <c r="BX299" s="547"/>
      <c r="BY299" s="547"/>
      <c r="BZ299" s="547"/>
      <c r="CA299" s="547"/>
      <c r="CB299" s="547"/>
      <c r="CC299" s="547"/>
    </row>
    <row r="300" spans="1:81">
      <c r="A300" s="547"/>
      <c r="B300" s="547"/>
      <c r="C300" s="547"/>
      <c r="D300" s="547"/>
      <c r="E300" s="547"/>
      <c r="F300" s="547"/>
      <c r="G300" s="547"/>
      <c r="H300" s="547"/>
      <c r="I300" s="547"/>
      <c r="J300" s="547"/>
      <c r="K300" s="547"/>
      <c r="L300" s="547"/>
      <c r="M300" s="547"/>
      <c r="N300" s="547"/>
      <c r="O300" s="547"/>
      <c r="P300" s="547"/>
      <c r="Q300" s="547"/>
      <c r="R300" s="547"/>
      <c r="S300" s="547"/>
      <c r="T300" s="547"/>
      <c r="U300" s="547"/>
      <c r="V300" s="547"/>
      <c r="W300" s="547"/>
      <c r="X300" s="547"/>
      <c r="Y300" s="547"/>
      <c r="Z300" s="547"/>
      <c r="AA300" s="547"/>
      <c r="AB300" s="547"/>
      <c r="AC300" s="547"/>
      <c r="AD300" s="547"/>
      <c r="AE300" s="547"/>
      <c r="AF300" s="547"/>
      <c r="AG300" s="547"/>
      <c r="AH300" s="547"/>
      <c r="AI300" s="547"/>
      <c r="AJ300" s="547"/>
      <c r="AK300" s="547"/>
      <c r="AL300" s="547"/>
      <c r="AM300" s="547"/>
      <c r="AN300" s="547"/>
      <c r="AO300" s="547"/>
      <c r="AP300" s="547"/>
      <c r="AQ300" s="547"/>
      <c r="AR300" s="547"/>
      <c r="AS300" s="547"/>
      <c r="AT300" s="547"/>
      <c r="AU300" s="547"/>
      <c r="AV300" s="547"/>
      <c r="AW300" s="547"/>
      <c r="AX300" s="547"/>
      <c r="AY300" s="547"/>
      <c r="AZ300" s="547"/>
      <c r="BA300" s="547"/>
      <c r="BB300" s="547"/>
      <c r="BC300" s="547"/>
      <c r="BD300" s="547"/>
      <c r="BE300" s="547"/>
      <c r="BF300" s="547"/>
      <c r="BG300" s="547"/>
      <c r="BH300" s="547"/>
      <c r="BI300" s="547"/>
      <c r="BJ300" s="547"/>
      <c r="BK300" s="547"/>
      <c r="BL300" s="547"/>
      <c r="BM300" s="547"/>
      <c r="BN300" s="547"/>
      <c r="BO300" s="547"/>
      <c r="BP300" s="547"/>
      <c r="BQ300" s="547"/>
      <c r="BR300" s="547"/>
      <c r="BS300" s="547"/>
      <c r="BT300" s="547"/>
      <c r="BU300" s="547"/>
      <c r="BV300" s="547"/>
      <c r="BW300" s="547"/>
      <c r="BX300" s="547"/>
      <c r="BY300" s="547"/>
      <c r="BZ300" s="547"/>
      <c r="CA300" s="547"/>
      <c r="CB300" s="547"/>
      <c r="CC300" s="547"/>
    </row>
    <row r="301" spans="1:81">
      <c r="A301" s="547"/>
      <c r="B301" s="547"/>
      <c r="C301" s="547"/>
      <c r="D301" s="547"/>
      <c r="E301" s="547"/>
      <c r="F301" s="547"/>
      <c r="G301" s="547"/>
      <c r="H301" s="547"/>
      <c r="I301" s="547"/>
      <c r="J301" s="547"/>
      <c r="K301" s="547"/>
      <c r="L301" s="547"/>
      <c r="M301" s="547"/>
      <c r="N301" s="547"/>
      <c r="O301" s="547"/>
      <c r="P301" s="547"/>
      <c r="Q301" s="547"/>
      <c r="R301" s="547"/>
      <c r="S301" s="547"/>
      <c r="T301" s="547"/>
      <c r="U301" s="547"/>
      <c r="V301" s="547"/>
      <c r="W301" s="547"/>
      <c r="X301" s="547"/>
      <c r="Y301" s="547"/>
      <c r="Z301" s="547"/>
      <c r="AA301" s="547"/>
      <c r="AB301" s="547"/>
      <c r="AC301" s="547"/>
      <c r="AD301" s="547"/>
      <c r="AE301" s="547"/>
      <c r="AF301" s="547"/>
      <c r="AG301" s="547"/>
      <c r="AH301" s="547"/>
      <c r="AI301" s="547"/>
      <c r="AJ301" s="547"/>
      <c r="AK301" s="547"/>
      <c r="AL301" s="547"/>
      <c r="AM301" s="547"/>
      <c r="AN301" s="547"/>
      <c r="AO301" s="547"/>
      <c r="AP301" s="547"/>
      <c r="AQ301" s="547"/>
      <c r="AR301" s="547"/>
      <c r="AS301" s="547"/>
      <c r="AT301" s="547"/>
      <c r="AU301" s="547"/>
      <c r="AV301" s="547"/>
      <c r="AW301" s="547"/>
      <c r="AX301" s="547"/>
      <c r="AY301" s="547"/>
      <c r="AZ301" s="547"/>
      <c r="BA301" s="547"/>
      <c r="BB301" s="547"/>
      <c r="BC301" s="547"/>
      <c r="BD301" s="547"/>
      <c r="BE301" s="547"/>
      <c r="BF301" s="547"/>
      <c r="BG301" s="547"/>
      <c r="BH301" s="547"/>
      <c r="BI301" s="547"/>
      <c r="BJ301" s="547"/>
      <c r="BK301" s="547"/>
      <c r="BL301" s="547"/>
      <c r="BM301" s="547"/>
      <c r="BN301" s="547"/>
      <c r="BO301" s="547"/>
      <c r="BP301" s="547"/>
      <c r="BQ301" s="547"/>
      <c r="BR301" s="547"/>
      <c r="BS301" s="547"/>
      <c r="BT301" s="547"/>
      <c r="BU301" s="547"/>
      <c r="BV301" s="547"/>
      <c r="BW301" s="547"/>
      <c r="BX301" s="547"/>
      <c r="BY301" s="547"/>
      <c r="BZ301" s="547"/>
      <c r="CA301" s="547"/>
      <c r="CB301" s="547"/>
      <c r="CC301" s="547"/>
    </row>
    <row r="302" spans="1:81">
      <c r="A302" s="547"/>
      <c r="B302" s="547"/>
      <c r="C302" s="547"/>
      <c r="D302" s="547"/>
      <c r="E302" s="547"/>
      <c r="F302" s="547"/>
      <c r="G302" s="547"/>
      <c r="H302" s="547"/>
      <c r="I302" s="547"/>
      <c r="J302" s="547"/>
      <c r="K302" s="547"/>
      <c r="L302" s="547"/>
      <c r="M302" s="547"/>
      <c r="N302" s="547"/>
      <c r="O302" s="547"/>
      <c r="P302" s="547"/>
      <c r="Q302" s="547"/>
      <c r="R302" s="547"/>
      <c r="S302" s="547"/>
      <c r="T302" s="547"/>
      <c r="U302" s="547"/>
      <c r="V302" s="547"/>
      <c r="W302" s="547"/>
      <c r="X302" s="547"/>
      <c r="Y302" s="547"/>
      <c r="Z302" s="547"/>
      <c r="AA302" s="547"/>
      <c r="AB302" s="547"/>
      <c r="AC302" s="547"/>
      <c r="AD302" s="547"/>
      <c r="AE302" s="547"/>
      <c r="AF302" s="547"/>
      <c r="AG302" s="547"/>
      <c r="AH302" s="547"/>
      <c r="AI302" s="547"/>
      <c r="AJ302" s="547"/>
      <c r="AK302" s="547"/>
      <c r="AL302" s="547"/>
      <c r="AM302" s="547"/>
      <c r="AN302" s="547"/>
      <c r="AO302" s="547"/>
      <c r="AP302" s="547"/>
      <c r="AQ302" s="547"/>
      <c r="AR302" s="547"/>
      <c r="AS302" s="547"/>
      <c r="AT302" s="547"/>
      <c r="AU302" s="547"/>
      <c r="AV302" s="547"/>
      <c r="AW302" s="547"/>
      <c r="AX302" s="547"/>
      <c r="AY302" s="547"/>
      <c r="AZ302" s="547"/>
      <c r="BA302" s="547"/>
      <c r="BB302" s="547"/>
      <c r="BC302" s="547"/>
      <c r="BD302" s="547"/>
      <c r="BE302" s="547"/>
      <c r="BF302" s="547"/>
      <c r="BG302" s="547"/>
      <c r="BH302" s="547"/>
      <c r="BI302" s="547"/>
      <c r="BJ302" s="547"/>
      <c r="BK302" s="547"/>
      <c r="BL302" s="547"/>
      <c r="BM302" s="547"/>
      <c r="BN302" s="547"/>
      <c r="BO302" s="547"/>
      <c r="BP302" s="547"/>
      <c r="BQ302" s="547"/>
      <c r="BR302" s="547"/>
      <c r="BS302" s="547"/>
      <c r="BT302" s="547"/>
      <c r="BU302" s="547"/>
      <c r="BV302" s="547"/>
      <c r="BW302" s="547"/>
      <c r="BX302" s="547"/>
      <c r="BY302" s="547"/>
      <c r="BZ302" s="547"/>
      <c r="CA302" s="547"/>
      <c r="CB302" s="547"/>
      <c r="CC302" s="547"/>
    </row>
    <row r="303" spans="1:81">
      <c r="A303" s="547"/>
      <c r="B303" s="547"/>
      <c r="C303" s="547"/>
      <c r="D303" s="547"/>
      <c r="E303" s="547"/>
      <c r="F303" s="547"/>
      <c r="G303" s="547"/>
      <c r="H303" s="547"/>
      <c r="I303" s="547"/>
      <c r="J303" s="547"/>
      <c r="K303" s="547"/>
      <c r="L303" s="547"/>
      <c r="M303" s="547"/>
      <c r="N303" s="547"/>
      <c r="O303" s="547"/>
      <c r="P303" s="547"/>
      <c r="Q303" s="547"/>
      <c r="R303" s="547"/>
      <c r="S303" s="547"/>
      <c r="T303" s="547"/>
      <c r="U303" s="547"/>
      <c r="V303" s="547"/>
      <c r="W303" s="547"/>
      <c r="X303" s="547"/>
      <c r="Y303" s="547"/>
      <c r="Z303" s="547"/>
      <c r="AA303" s="547"/>
      <c r="AB303" s="547"/>
      <c r="AC303" s="547"/>
      <c r="AD303" s="547"/>
      <c r="AE303" s="547"/>
      <c r="AF303" s="547"/>
      <c r="AG303" s="547"/>
      <c r="AH303" s="547"/>
      <c r="AI303" s="547"/>
      <c r="AJ303" s="547"/>
      <c r="AK303" s="547"/>
      <c r="AL303" s="547"/>
      <c r="AM303" s="547"/>
      <c r="AN303" s="547"/>
      <c r="AO303" s="547"/>
      <c r="AP303" s="547"/>
      <c r="AQ303" s="547"/>
      <c r="AR303" s="547"/>
      <c r="AS303" s="547"/>
      <c r="AT303" s="547"/>
      <c r="AU303" s="547"/>
      <c r="AV303" s="547"/>
      <c r="AW303" s="547"/>
      <c r="AX303" s="547"/>
      <c r="AY303" s="547"/>
      <c r="AZ303" s="547"/>
      <c r="BA303" s="547"/>
      <c r="BB303" s="547"/>
      <c r="BC303" s="547"/>
      <c r="BD303" s="547"/>
      <c r="BE303" s="547"/>
      <c r="BF303" s="547"/>
      <c r="BG303" s="547"/>
      <c r="BH303" s="547"/>
      <c r="BI303" s="547"/>
      <c r="BJ303" s="547"/>
      <c r="BK303" s="547"/>
      <c r="BL303" s="547"/>
      <c r="BM303" s="547"/>
      <c r="BN303" s="547"/>
      <c r="BO303" s="547"/>
      <c r="BP303" s="547"/>
      <c r="BQ303" s="547"/>
      <c r="BR303" s="547"/>
      <c r="BS303" s="547"/>
      <c r="BT303" s="547"/>
      <c r="BU303" s="547"/>
      <c r="BV303" s="547"/>
      <c r="BW303" s="547"/>
      <c r="BX303" s="547"/>
      <c r="BY303" s="547"/>
      <c r="BZ303" s="547"/>
      <c r="CA303" s="547"/>
      <c r="CB303" s="547"/>
      <c r="CC303" s="547"/>
    </row>
    <row r="304" spans="1:81">
      <c r="A304" s="547"/>
      <c r="B304" s="547"/>
      <c r="C304" s="547"/>
      <c r="D304" s="547"/>
      <c r="E304" s="547"/>
      <c r="F304" s="547"/>
      <c r="G304" s="547"/>
      <c r="H304" s="547"/>
      <c r="I304" s="547"/>
      <c r="J304" s="547"/>
      <c r="K304" s="547"/>
      <c r="L304" s="547"/>
      <c r="M304" s="547"/>
      <c r="N304" s="547"/>
      <c r="O304" s="547"/>
      <c r="P304" s="547"/>
      <c r="Q304" s="547"/>
      <c r="R304" s="547"/>
      <c r="S304" s="547"/>
      <c r="T304" s="547"/>
      <c r="U304" s="547"/>
      <c r="V304" s="547"/>
      <c r="W304" s="547"/>
      <c r="X304" s="547"/>
      <c r="Y304" s="547"/>
      <c r="Z304" s="547"/>
      <c r="AA304" s="547"/>
      <c r="AB304" s="547"/>
      <c r="AC304" s="547"/>
      <c r="AD304" s="547"/>
      <c r="AE304" s="547"/>
      <c r="AF304" s="547"/>
      <c r="AG304" s="547"/>
      <c r="AH304" s="547"/>
      <c r="AI304" s="547"/>
      <c r="AJ304" s="547"/>
      <c r="AK304" s="547"/>
      <c r="AL304" s="547"/>
      <c r="AM304" s="547"/>
      <c r="AN304" s="547"/>
      <c r="AO304" s="547"/>
      <c r="AP304" s="547"/>
      <c r="AQ304" s="547"/>
      <c r="AR304" s="547"/>
      <c r="AS304" s="547"/>
      <c r="AT304" s="547"/>
      <c r="AU304" s="547"/>
      <c r="AV304" s="547"/>
      <c r="AW304" s="547"/>
      <c r="AX304" s="547"/>
      <c r="AY304" s="547"/>
      <c r="AZ304" s="547"/>
      <c r="BA304" s="547"/>
      <c r="BB304" s="547"/>
      <c r="BC304" s="547"/>
      <c r="BD304" s="547"/>
      <c r="BE304" s="547"/>
      <c r="BF304" s="547"/>
      <c r="BG304" s="547"/>
      <c r="BH304" s="547"/>
      <c r="BI304" s="547"/>
      <c r="BJ304" s="547"/>
      <c r="BK304" s="547"/>
      <c r="BL304" s="547"/>
      <c r="BM304" s="547"/>
      <c r="BN304" s="547"/>
      <c r="BO304" s="547"/>
      <c r="BP304" s="547"/>
      <c r="BQ304" s="547"/>
      <c r="BR304" s="547"/>
      <c r="BS304" s="547"/>
      <c r="BT304" s="547"/>
      <c r="BU304" s="547"/>
      <c r="BV304" s="547"/>
      <c r="BW304" s="547"/>
      <c r="BX304" s="547"/>
      <c r="BY304" s="547"/>
      <c r="BZ304" s="547"/>
      <c r="CA304" s="547"/>
      <c r="CB304" s="547"/>
      <c r="CC304" s="547"/>
    </row>
    <row r="305" spans="1:81">
      <c r="A305" s="547"/>
      <c r="B305" s="547"/>
      <c r="C305" s="547"/>
      <c r="D305" s="547"/>
      <c r="E305" s="547"/>
      <c r="F305" s="547"/>
      <c r="G305" s="547"/>
      <c r="H305" s="547"/>
      <c r="I305" s="547"/>
      <c r="J305" s="547"/>
      <c r="K305" s="547"/>
      <c r="L305" s="547"/>
      <c r="M305" s="547"/>
      <c r="N305" s="547"/>
      <c r="O305" s="547"/>
      <c r="P305" s="547"/>
      <c r="Q305" s="547"/>
      <c r="R305" s="547"/>
      <c r="S305" s="547"/>
      <c r="T305" s="547"/>
      <c r="U305" s="547"/>
      <c r="V305" s="547"/>
      <c r="W305" s="547"/>
      <c r="X305" s="547"/>
      <c r="Y305" s="547"/>
      <c r="Z305" s="547"/>
      <c r="AA305" s="547"/>
      <c r="AB305" s="547"/>
      <c r="AC305" s="547"/>
      <c r="AD305" s="547"/>
      <c r="AE305" s="547"/>
      <c r="AF305" s="547"/>
      <c r="AG305" s="547"/>
      <c r="AH305" s="547"/>
      <c r="AI305" s="547"/>
      <c r="AJ305" s="547"/>
      <c r="AK305" s="547"/>
      <c r="AL305" s="547"/>
      <c r="AM305" s="547"/>
      <c r="AN305" s="547"/>
      <c r="AO305" s="547"/>
      <c r="AP305" s="547"/>
      <c r="AQ305" s="547"/>
      <c r="AR305" s="547"/>
      <c r="AS305" s="547"/>
      <c r="AT305" s="547"/>
      <c r="AU305" s="547"/>
      <c r="AV305" s="547"/>
      <c r="AW305" s="547"/>
      <c r="AX305" s="547"/>
      <c r="AY305" s="547"/>
      <c r="AZ305" s="547"/>
      <c r="BA305" s="547"/>
      <c r="BB305" s="547"/>
      <c r="BC305" s="547"/>
      <c r="BD305" s="547"/>
      <c r="BE305" s="547"/>
      <c r="BF305" s="547"/>
      <c r="BG305" s="547"/>
      <c r="BH305" s="547"/>
      <c r="BI305" s="547"/>
      <c r="BJ305" s="547"/>
      <c r="BK305" s="547"/>
      <c r="BL305" s="547"/>
      <c r="BM305" s="547"/>
      <c r="BN305" s="547"/>
      <c r="BO305" s="547"/>
      <c r="BP305" s="547"/>
      <c r="BQ305" s="547"/>
      <c r="BR305" s="547"/>
      <c r="BS305" s="547"/>
      <c r="BT305" s="547"/>
      <c r="BU305" s="547"/>
      <c r="BV305" s="547"/>
      <c r="BW305" s="547"/>
      <c r="BX305" s="547"/>
      <c r="BY305" s="547"/>
      <c r="BZ305" s="547"/>
      <c r="CA305" s="547"/>
      <c r="CB305" s="547"/>
      <c r="CC305" s="547"/>
    </row>
    <row r="306" spans="1:81">
      <c r="A306" s="547"/>
      <c r="B306" s="547"/>
      <c r="C306" s="547"/>
      <c r="D306" s="547"/>
      <c r="E306" s="547"/>
      <c r="F306" s="547"/>
      <c r="G306" s="547"/>
      <c r="H306" s="547"/>
      <c r="I306" s="547"/>
      <c r="J306" s="547"/>
      <c r="K306" s="547"/>
      <c r="L306" s="547"/>
      <c r="M306" s="547"/>
      <c r="N306" s="547"/>
      <c r="O306" s="547"/>
      <c r="P306" s="547"/>
      <c r="Q306" s="547"/>
      <c r="R306" s="547"/>
      <c r="S306" s="547"/>
      <c r="T306" s="547"/>
      <c r="U306" s="547"/>
      <c r="V306" s="547"/>
      <c r="W306" s="547"/>
      <c r="X306" s="547"/>
      <c r="Y306" s="547"/>
      <c r="Z306" s="547"/>
      <c r="AA306" s="547"/>
      <c r="AB306" s="547"/>
      <c r="AC306" s="547"/>
      <c r="AD306" s="547"/>
      <c r="AE306" s="547"/>
      <c r="AF306" s="547"/>
      <c r="AG306" s="547"/>
      <c r="AH306" s="547"/>
      <c r="AI306" s="547"/>
      <c r="AJ306" s="547"/>
      <c r="AK306" s="547"/>
      <c r="AL306" s="547"/>
      <c r="AM306" s="547"/>
      <c r="AN306" s="547"/>
      <c r="AO306" s="547"/>
      <c r="AP306" s="547"/>
      <c r="AQ306" s="547"/>
      <c r="AR306" s="547"/>
      <c r="AS306" s="547"/>
      <c r="AT306" s="547"/>
      <c r="AU306" s="547"/>
      <c r="AV306" s="547"/>
      <c r="AW306" s="547"/>
      <c r="AX306" s="547"/>
      <c r="AY306" s="547"/>
      <c r="AZ306" s="547"/>
      <c r="BA306" s="547"/>
      <c r="BB306" s="547"/>
      <c r="BC306" s="547"/>
      <c r="BD306" s="547"/>
      <c r="BE306" s="547"/>
      <c r="BF306" s="547"/>
      <c r="BG306" s="547"/>
      <c r="BH306" s="547"/>
      <c r="BI306" s="547"/>
      <c r="BJ306" s="547"/>
      <c r="BK306" s="547"/>
      <c r="BL306" s="547"/>
      <c r="BM306" s="547"/>
      <c r="BN306" s="547"/>
      <c r="BO306" s="547"/>
      <c r="BP306" s="547"/>
      <c r="BQ306" s="547"/>
      <c r="BR306" s="547"/>
      <c r="BS306" s="547"/>
      <c r="BT306" s="547"/>
      <c r="BU306" s="547"/>
      <c r="BV306" s="547"/>
      <c r="BW306" s="547"/>
      <c r="BX306" s="547"/>
      <c r="BY306" s="547"/>
      <c r="BZ306" s="547"/>
      <c r="CA306" s="547"/>
      <c r="CB306" s="547"/>
      <c r="CC306" s="547"/>
    </row>
    <row r="307" spans="1:81">
      <c r="A307" s="547"/>
      <c r="B307" s="547"/>
      <c r="C307" s="547"/>
      <c r="D307" s="547"/>
      <c r="E307" s="547"/>
      <c r="F307" s="547"/>
      <c r="G307" s="547"/>
      <c r="H307" s="547"/>
      <c r="I307" s="547"/>
      <c r="J307" s="547"/>
      <c r="K307" s="547"/>
      <c r="L307" s="547"/>
      <c r="M307" s="547"/>
      <c r="N307" s="547"/>
      <c r="O307" s="547"/>
      <c r="P307" s="547"/>
      <c r="Q307" s="547"/>
      <c r="R307" s="547"/>
      <c r="S307" s="547"/>
      <c r="T307" s="547"/>
      <c r="U307" s="547"/>
      <c r="V307" s="547"/>
      <c r="W307" s="547"/>
      <c r="X307" s="547"/>
      <c r="Y307" s="547"/>
      <c r="Z307" s="547"/>
      <c r="AA307" s="547"/>
      <c r="AB307" s="547"/>
      <c r="AC307" s="547"/>
      <c r="AD307" s="547"/>
      <c r="AE307" s="547"/>
      <c r="AF307" s="547"/>
      <c r="AG307" s="547"/>
      <c r="AH307" s="547"/>
      <c r="AI307" s="547"/>
      <c r="AJ307" s="547"/>
      <c r="AK307" s="547"/>
      <c r="AL307" s="547"/>
      <c r="AM307" s="547"/>
      <c r="AN307" s="547"/>
      <c r="AO307" s="547"/>
      <c r="AP307" s="547"/>
      <c r="AQ307" s="547"/>
      <c r="AR307" s="547"/>
      <c r="AS307" s="547"/>
      <c r="AT307" s="547"/>
      <c r="AU307" s="547"/>
      <c r="AV307" s="547"/>
      <c r="AW307" s="547"/>
      <c r="AX307" s="547"/>
      <c r="AY307" s="547"/>
      <c r="AZ307" s="547"/>
      <c r="BA307" s="547"/>
      <c r="BB307" s="547"/>
      <c r="BC307" s="547"/>
      <c r="BD307" s="547"/>
      <c r="BE307" s="547"/>
      <c r="BF307" s="547"/>
      <c r="BG307" s="547"/>
      <c r="BH307" s="547"/>
      <c r="BI307" s="547"/>
      <c r="BJ307" s="547"/>
      <c r="BK307" s="547"/>
      <c r="BL307" s="547"/>
      <c r="BM307" s="547"/>
      <c r="BN307" s="547"/>
      <c r="BO307" s="547"/>
      <c r="BP307" s="547"/>
      <c r="BQ307" s="547"/>
      <c r="BR307" s="547"/>
      <c r="BS307" s="547"/>
      <c r="BT307" s="547"/>
      <c r="BU307" s="547"/>
      <c r="BV307" s="547"/>
      <c r="BW307" s="547"/>
      <c r="BX307" s="547"/>
      <c r="BY307" s="547"/>
      <c r="BZ307" s="547"/>
      <c r="CA307" s="547"/>
      <c r="CB307" s="547"/>
      <c r="CC307" s="547"/>
    </row>
    <row r="308" spans="1:81">
      <c r="A308" s="547"/>
      <c r="B308" s="547"/>
      <c r="C308" s="547"/>
      <c r="D308" s="547"/>
      <c r="E308" s="547"/>
      <c r="F308" s="547"/>
      <c r="G308" s="547"/>
      <c r="H308" s="547"/>
      <c r="I308" s="547"/>
      <c r="J308" s="547"/>
      <c r="K308" s="547"/>
      <c r="L308" s="547"/>
      <c r="M308" s="547"/>
      <c r="N308" s="547"/>
      <c r="O308" s="547"/>
      <c r="P308" s="547"/>
      <c r="Q308" s="547"/>
      <c r="R308" s="547"/>
      <c r="S308" s="547"/>
      <c r="T308" s="547"/>
      <c r="U308" s="547"/>
      <c r="V308" s="547"/>
      <c r="W308" s="547"/>
      <c r="X308" s="547"/>
      <c r="Y308" s="547"/>
      <c r="Z308" s="547"/>
      <c r="AA308" s="547"/>
      <c r="AB308" s="547"/>
      <c r="AC308" s="547"/>
      <c r="AD308" s="547"/>
      <c r="AE308" s="547"/>
      <c r="AF308" s="547"/>
      <c r="AG308" s="547"/>
      <c r="AH308" s="547"/>
      <c r="AI308" s="547"/>
      <c r="AJ308" s="547"/>
      <c r="AK308" s="547"/>
      <c r="AL308" s="547"/>
      <c r="AM308" s="547"/>
      <c r="AN308" s="547"/>
      <c r="AO308" s="547"/>
      <c r="AP308" s="547"/>
      <c r="AQ308" s="547"/>
      <c r="AR308" s="547"/>
      <c r="AS308" s="547"/>
      <c r="AT308" s="547"/>
      <c r="AU308" s="547"/>
      <c r="AV308" s="547"/>
      <c r="AW308" s="547"/>
      <c r="AX308" s="547"/>
      <c r="AY308" s="547"/>
      <c r="AZ308" s="547"/>
      <c r="BA308" s="547"/>
      <c r="BB308" s="547"/>
      <c r="BC308" s="547"/>
      <c r="BD308" s="547"/>
      <c r="BE308" s="547"/>
      <c r="BF308" s="547"/>
      <c r="BG308" s="547"/>
      <c r="BH308" s="547"/>
      <c r="BI308" s="547"/>
      <c r="BJ308" s="547"/>
      <c r="BK308" s="547"/>
      <c r="BL308" s="547"/>
      <c r="BM308" s="547"/>
      <c r="BN308" s="547"/>
      <c r="BO308" s="547"/>
      <c r="BP308" s="547"/>
      <c r="BQ308" s="547"/>
      <c r="BR308" s="547"/>
      <c r="BS308" s="547"/>
      <c r="BT308" s="547"/>
      <c r="BU308" s="547"/>
      <c r="BV308" s="547"/>
      <c r="BW308" s="547"/>
      <c r="BX308" s="547"/>
      <c r="BY308" s="547"/>
      <c r="BZ308" s="547"/>
      <c r="CA308" s="547"/>
      <c r="CB308" s="547"/>
      <c r="CC308" s="547"/>
    </row>
    <row r="309" spans="1:81">
      <c r="A309" s="547"/>
      <c r="B309" s="547"/>
      <c r="C309" s="547"/>
      <c r="D309" s="547"/>
      <c r="E309" s="547"/>
      <c r="F309" s="547"/>
      <c r="G309" s="547"/>
      <c r="H309" s="547"/>
      <c r="I309" s="547"/>
      <c r="J309" s="547"/>
      <c r="K309" s="547"/>
      <c r="L309" s="547"/>
      <c r="M309" s="547"/>
      <c r="N309" s="547"/>
      <c r="O309" s="547"/>
      <c r="P309" s="547"/>
      <c r="Q309" s="547"/>
      <c r="R309" s="547"/>
      <c r="S309" s="547"/>
      <c r="T309" s="547"/>
      <c r="U309" s="547"/>
      <c r="V309" s="547"/>
      <c r="W309" s="547"/>
      <c r="X309" s="547"/>
      <c r="Y309" s="547"/>
      <c r="Z309" s="547"/>
      <c r="AA309" s="547"/>
      <c r="AB309" s="547"/>
      <c r="AC309" s="547"/>
      <c r="AD309" s="547"/>
      <c r="AE309" s="547"/>
      <c r="AF309" s="547"/>
      <c r="AG309" s="547"/>
      <c r="AH309" s="547"/>
      <c r="AI309" s="547"/>
      <c r="AJ309" s="547"/>
      <c r="AK309" s="547"/>
      <c r="AL309" s="547"/>
      <c r="AM309" s="547"/>
      <c r="AN309" s="547"/>
      <c r="AO309" s="547"/>
      <c r="AP309" s="547"/>
      <c r="AQ309" s="547"/>
      <c r="AR309" s="547"/>
      <c r="AS309" s="547"/>
      <c r="AT309" s="547"/>
      <c r="AU309" s="547"/>
      <c r="AV309" s="547"/>
      <c r="AW309" s="547"/>
      <c r="AX309" s="547"/>
      <c r="AY309" s="547"/>
      <c r="AZ309" s="547"/>
      <c r="BA309" s="547"/>
      <c r="BB309" s="547"/>
      <c r="BC309" s="547"/>
      <c r="BD309" s="547"/>
      <c r="BE309" s="547"/>
      <c r="BF309" s="547"/>
      <c r="BG309" s="547"/>
      <c r="BH309" s="547"/>
      <c r="BI309" s="547"/>
      <c r="BJ309" s="547"/>
      <c r="BK309" s="547"/>
      <c r="BL309" s="547"/>
      <c r="BM309" s="547"/>
      <c r="BN309" s="547"/>
      <c r="BO309" s="547"/>
      <c r="BP309" s="547"/>
      <c r="BQ309" s="547"/>
      <c r="BR309" s="547"/>
      <c r="BS309" s="547"/>
      <c r="BT309" s="547"/>
      <c r="BU309" s="547"/>
      <c r="BV309" s="547"/>
      <c r="BW309" s="547"/>
      <c r="BX309" s="547"/>
      <c r="BY309" s="547"/>
      <c r="BZ309" s="547"/>
      <c r="CA309" s="547"/>
      <c r="CB309" s="547"/>
      <c r="CC309" s="547"/>
    </row>
    <row r="310" spans="1:81">
      <c r="A310" s="547"/>
      <c r="B310" s="547"/>
      <c r="C310" s="547"/>
      <c r="D310" s="547"/>
      <c r="E310" s="547"/>
      <c r="F310" s="547"/>
      <c r="G310" s="547"/>
      <c r="H310" s="547"/>
      <c r="I310" s="547"/>
      <c r="J310" s="547"/>
      <c r="K310" s="547"/>
      <c r="L310" s="547"/>
      <c r="M310" s="547"/>
      <c r="N310" s="547"/>
      <c r="O310" s="547"/>
      <c r="P310" s="547"/>
      <c r="Q310" s="547"/>
      <c r="R310" s="547"/>
      <c r="S310" s="547"/>
      <c r="T310" s="547"/>
      <c r="U310" s="547"/>
      <c r="V310" s="547"/>
      <c r="W310" s="547"/>
      <c r="X310" s="547"/>
      <c r="Y310" s="547"/>
      <c r="Z310" s="547"/>
      <c r="AA310" s="547"/>
      <c r="AB310" s="547"/>
      <c r="AC310" s="547"/>
      <c r="AD310" s="547"/>
      <c r="AE310" s="547"/>
      <c r="AF310" s="547"/>
      <c r="AG310" s="547"/>
      <c r="AH310" s="547"/>
      <c r="AI310" s="547"/>
      <c r="AJ310" s="547"/>
      <c r="AK310" s="547"/>
      <c r="AL310" s="547"/>
      <c r="AM310" s="547"/>
      <c r="AN310" s="547"/>
      <c r="AO310" s="547"/>
      <c r="AP310" s="547"/>
      <c r="AQ310" s="547"/>
      <c r="AR310" s="547"/>
      <c r="AS310" s="547"/>
      <c r="AT310" s="547"/>
      <c r="AU310" s="547"/>
      <c r="AV310" s="547"/>
      <c r="AW310" s="547"/>
      <c r="AX310" s="547"/>
      <c r="AY310" s="547"/>
      <c r="AZ310" s="547"/>
      <c r="BA310" s="547"/>
      <c r="BB310" s="547"/>
      <c r="BC310" s="547"/>
      <c r="BD310" s="547"/>
      <c r="BE310" s="547"/>
      <c r="BF310" s="547"/>
      <c r="BG310" s="547"/>
      <c r="BH310" s="547"/>
      <c r="BI310" s="547"/>
      <c r="BJ310" s="547"/>
      <c r="BK310" s="547"/>
      <c r="BL310" s="547"/>
      <c r="BM310" s="547"/>
      <c r="BN310" s="547"/>
      <c r="BO310" s="547"/>
      <c r="BP310" s="547"/>
      <c r="BQ310" s="547"/>
      <c r="BR310" s="547"/>
      <c r="BS310" s="547"/>
      <c r="BT310" s="547"/>
      <c r="BU310" s="547"/>
      <c r="BV310" s="547"/>
      <c r="BW310" s="547"/>
      <c r="BX310" s="547"/>
      <c r="BY310" s="547"/>
      <c r="BZ310" s="547"/>
      <c r="CA310" s="547"/>
      <c r="CB310" s="547"/>
      <c r="CC310" s="547"/>
    </row>
    <row r="311" spans="1:81">
      <c r="A311" s="547"/>
      <c r="B311" s="547"/>
      <c r="C311" s="547"/>
      <c r="D311" s="547"/>
      <c r="E311" s="547"/>
      <c r="F311" s="547"/>
      <c r="G311" s="547"/>
      <c r="H311" s="547"/>
      <c r="I311" s="547"/>
      <c r="J311" s="547"/>
      <c r="K311" s="547"/>
      <c r="L311" s="547"/>
      <c r="M311" s="547"/>
      <c r="N311" s="547"/>
      <c r="O311" s="547"/>
      <c r="P311" s="547"/>
      <c r="Q311" s="547"/>
      <c r="R311" s="547"/>
      <c r="S311" s="547"/>
      <c r="T311" s="547"/>
      <c r="U311" s="547"/>
      <c r="V311" s="547"/>
      <c r="W311" s="547"/>
      <c r="X311" s="547"/>
      <c r="Y311" s="547"/>
      <c r="Z311" s="547"/>
      <c r="AA311" s="547"/>
      <c r="AB311" s="547"/>
      <c r="AC311" s="547"/>
      <c r="AD311" s="547"/>
      <c r="AE311" s="547"/>
      <c r="AF311" s="547"/>
      <c r="AG311" s="547"/>
      <c r="AH311" s="547"/>
      <c r="AI311" s="547"/>
      <c r="AJ311" s="547"/>
      <c r="AK311" s="547"/>
      <c r="AL311" s="547"/>
      <c r="AM311" s="547"/>
      <c r="AN311" s="547"/>
      <c r="AO311" s="547"/>
      <c r="AP311" s="547"/>
      <c r="AQ311" s="547"/>
      <c r="AR311" s="547"/>
      <c r="AS311" s="547"/>
      <c r="AT311" s="547"/>
      <c r="AU311" s="547"/>
      <c r="AV311" s="547"/>
      <c r="AW311" s="547"/>
      <c r="AX311" s="547"/>
      <c r="AY311" s="547"/>
      <c r="AZ311" s="547"/>
      <c r="BA311" s="547"/>
      <c r="BB311" s="547"/>
      <c r="BC311" s="547"/>
      <c r="BD311" s="547"/>
      <c r="BE311" s="547"/>
      <c r="BF311" s="547"/>
      <c r="BG311" s="547"/>
      <c r="BH311" s="547"/>
      <c r="BI311" s="547"/>
      <c r="BJ311" s="547"/>
      <c r="BK311" s="547"/>
      <c r="BL311" s="547"/>
      <c r="BM311" s="547"/>
      <c r="BN311" s="547"/>
      <c r="BO311" s="547"/>
      <c r="BP311" s="547"/>
      <c r="BQ311" s="547"/>
      <c r="BR311" s="547"/>
      <c r="BS311" s="547"/>
      <c r="BT311" s="547"/>
      <c r="BU311" s="547"/>
      <c r="BV311" s="547"/>
      <c r="BW311" s="547"/>
      <c r="BX311" s="547"/>
      <c r="BY311" s="547"/>
      <c r="BZ311" s="547"/>
      <c r="CA311" s="547"/>
      <c r="CB311" s="547"/>
      <c r="CC311" s="547"/>
    </row>
    <row r="312" spans="1:81">
      <c r="A312" s="547"/>
      <c r="B312" s="547"/>
      <c r="C312" s="547"/>
      <c r="D312" s="547"/>
      <c r="E312" s="547"/>
      <c r="F312" s="547"/>
      <c r="G312" s="547"/>
      <c r="H312" s="547"/>
      <c r="I312" s="547"/>
      <c r="J312" s="547"/>
      <c r="K312" s="547"/>
      <c r="L312" s="547"/>
      <c r="M312" s="547"/>
      <c r="N312" s="547"/>
      <c r="O312" s="547"/>
      <c r="P312" s="547"/>
      <c r="Q312" s="547"/>
      <c r="R312" s="547"/>
      <c r="S312" s="547"/>
      <c r="T312" s="547"/>
      <c r="U312" s="547"/>
      <c r="V312" s="547"/>
      <c r="W312" s="547"/>
      <c r="X312" s="547"/>
      <c r="Y312" s="547"/>
      <c r="Z312" s="547"/>
      <c r="AA312" s="547"/>
      <c r="AB312" s="547"/>
      <c r="AC312" s="547"/>
      <c r="AD312" s="547"/>
      <c r="AE312" s="547"/>
      <c r="AF312" s="547"/>
      <c r="AG312" s="547"/>
      <c r="AH312" s="547"/>
      <c r="AI312" s="547"/>
      <c r="AJ312" s="547"/>
      <c r="AK312" s="547"/>
      <c r="AL312" s="547"/>
      <c r="AM312" s="547"/>
      <c r="AN312" s="547"/>
      <c r="AO312" s="547"/>
      <c r="AP312" s="547"/>
      <c r="AQ312" s="547"/>
      <c r="AR312" s="547"/>
      <c r="AS312" s="547"/>
      <c r="AT312" s="547"/>
      <c r="AU312" s="547"/>
      <c r="AV312" s="547"/>
      <c r="AW312" s="547"/>
      <c r="AX312" s="547"/>
      <c r="AY312" s="547"/>
      <c r="AZ312" s="547"/>
      <c r="BA312" s="547"/>
      <c r="BB312" s="547"/>
      <c r="BC312" s="547"/>
      <c r="BD312" s="547"/>
      <c r="BE312" s="547"/>
      <c r="BF312" s="547"/>
      <c r="BG312" s="547"/>
      <c r="BH312" s="547"/>
      <c r="BI312" s="547"/>
      <c r="BJ312" s="547"/>
      <c r="BK312" s="547"/>
      <c r="BL312" s="547"/>
      <c r="BM312" s="547"/>
      <c r="BN312" s="547"/>
      <c r="BO312" s="547"/>
      <c r="BP312" s="547"/>
      <c r="BQ312" s="547"/>
      <c r="BR312" s="547"/>
      <c r="BS312" s="547"/>
      <c r="BT312" s="547"/>
      <c r="BU312" s="547"/>
      <c r="BV312" s="547"/>
      <c r="BW312" s="547"/>
      <c r="BX312" s="547"/>
      <c r="BY312" s="547"/>
      <c r="BZ312" s="547"/>
      <c r="CA312" s="547"/>
      <c r="CB312" s="547"/>
      <c r="CC312" s="547"/>
    </row>
    <row r="313" spans="1:81">
      <c r="A313" s="547"/>
      <c r="B313" s="547"/>
      <c r="C313" s="547"/>
      <c r="D313" s="547"/>
      <c r="E313" s="547"/>
      <c r="F313" s="547"/>
      <c r="G313" s="547"/>
      <c r="H313" s="547"/>
      <c r="I313" s="547"/>
      <c r="J313" s="547"/>
      <c r="K313" s="547"/>
      <c r="L313" s="547"/>
      <c r="M313" s="547"/>
      <c r="N313" s="547"/>
      <c r="O313" s="547"/>
      <c r="P313" s="547"/>
      <c r="Q313" s="547"/>
      <c r="R313" s="547"/>
      <c r="S313" s="547"/>
      <c r="T313" s="547"/>
      <c r="U313" s="547"/>
      <c r="V313" s="547"/>
      <c r="W313" s="547"/>
      <c r="X313" s="547"/>
      <c r="Y313" s="547"/>
      <c r="Z313" s="547"/>
      <c r="AA313" s="547"/>
      <c r="AB313" s="547"/>
      <c r="AC313" s="547"/>
      <c r="AD313" s="547"/>
      <c r="AE313" s="547"/>
      <c r="AF313" s="547"/>
      <c r="AG313" s="547"/>
      <c r="AH313" s="547"/>
      <c r="AI313" s="547"/>
      <c r="AJ313" s="547"/>
      <c r="AK313" s="547"/>
      <c r="AL313" s="547"/>
      <c r="AM313" s="547"/>
      <c r="AN313" s="547"/>
      <c r="AO313" s="547"/>
      <c r="AP313" s="547"/>
      <c r="AQ313" s="547"/>
      <c r="AR313" s="547"/>
      <c r="AS313" s="547"/>
      <c r="AT313" s="547"/>
      <c r="AU313" s="547"/>
      <c r="AV313" s="547"/>
      <c r="AW313" s="547"/>
      <c r="AX313" s="547"/>
      <c r="AY313" s="547"/>
      <c r="AZ313" s="547"/>
      <c r="BA313" s="547"/>
      <c r="BB313" s="547"/>
      <c r="BC313" s="547"/>
      <c r="BD313" s="547"/>
      <c r="BE313" s="547"/>
      <c r="BF313" s="547"/>
      <c r="BG313" s="547"/>
      <c r="BH313" s="547"/>
      <c r="BI313" s="547"/>
      <c r="BJ313" s="547"/>
      <c r="BK313" s="547"/>
      <c r="BL313" s="547"/>
      <c r="BM313" s="547"/>
      <c r="BN313" s="547"/>
      <c r="BO313" s="547"/>
      <c r="BP313" s="547"/>
      <c r="BQ313" s="547"/>
      <c r="BR313" s="547"/>
      <c r="BS313" s="547"/>
      <c r="BT313" s="547"/>
      <c r="BU313" s="547"/>
      <c r="BV313" s="547"/>
      <c r="BW313" s="547"/>
      <c r="BX313" s="547"/>
      <c r="BY313" s="547"/>
      <c r="BZ313" s="547"/>
      <c r="CA313" s="547"/>
      <c r="CB313" s="547"/>
      <c r="CC313" s="547"/>
    </row>
    <row r="314" spans="1:81">
      <c r="A314" s="547"/>
      <c r="B314" s="547"/>
      <c r="C314" s="547"/>
      <c r="D314" s="547"/>
      <c r="E314" s="547"/>
      <c r="F314" s="547"/>
      <c r="G314" s="547"/>
      <c r="H314" s="547"/>
      <c r="I314" s="547"/>
      <c r="J314" s="547"/>
      <c r="K314" s="547"/>
      <c r="L314" s="547"/>
      <c r="M314" s="547"/>
      <c r="N314" s="547"/>
      <c r="O314" s="547"/>
      <c r="P314" s="547"/>
      <c r="Q314" s="547"/>
      <c r="R314" s="547"/>
      <c r="S314" s="547"/>
      <c r="T314" s="547"/>
      <c r="U314" s="547"/>
      <c r="V314" s="547"/>
      <c r="W314" s="547"/>
      <c r="X314" s="547"/>
      <c r="Y314" s="547"/>
      <c r="Z314" s="547"/>
      <c r="AA314" s="547"/>
      <c r="AB314" s="547"/>
      <c r="AC314" s="547"/>
      <c r="AD314" s="547"/>
      <c r="AE314" s="547"/>
      <c r="AF314" s="547"/>
      <c r="AG314" s="547"/>
      <c r="AH314" s="547"/>
      <c r="AI314" s="547"/>
      <c r="AJ314" s="547"/>
      <c r="AK314" s="547"/>
      <c r="AL314" s="547"/>
      <c r="AM314" s="547"/>
      <c r="AN314" s="547"/>
      <c r="AO314" s="547"/>
      <c r="AP314" s="547"/>
      <c r="AQ314" s="547"/>
      <c r="AR314" s="547"/>
      <c r="AS314" s="547"/>
      <c r="AT314" s="547"/>
      <c r="AU314" s="547"/>
      <c r="AV314" s="547"/>
      <c r="AW314" s="547"/>
      <c r="AX314" s="547"/>
      <c r="AY314" s="547"/>
      <c r="AZ314" s="547"/>
      <c r="BA314" s="547"/>
      <c r="BB314" s="547"/>
      <c r="BC314" s="547"/>
      <c r="BD314" s="547"/>
      <c r="BE314" s="547"/>
      <c r="BF314" s="547"/>
      <c r="BG314" s="547"/>
      <c r="BH314" s="547"/>
      <c r="BI314" s="547"/>
      <c r="BJ314" s="547"/>
      <c r="BK314" s="547"/>
      <c r="BL314" s="547"/>
      <c r="BM314" s="547"/>
      <c r="BN314" s="547"/>
      <c r="BO314" s="547"/>
      <c r="BP314" s="547"/>
      <c r="BQ314" s="547"/>
      <c r="BR314" s="547"/>
      <c r="BS314" s="547"/>
      <c r="BT314" s="547"/>
      <c r="BU314" s="547"/>
      <c r="BV314" s="547"/>
      <c r="BW314" s="547"/>
      <c r="BX314" s="547"/>
      <c r="BY314" s="547"/>
      <c r="BZ314" s="547"/>
      <c r="CA314" s="547"/>
      <c r="CB314" s="547"/>
      <c r="CC314" s="547"/>
    </row>
    <row r="315" spans="1:81">
      <c r="A315" s="547"/>
      <c r="B315" s="547"/>
      <c r="C315" s="547"/>
      <c r="D315" s="547"/>
      <c r="E315" s="547"/>
      <c r="F315" s="547"/>
      <c r="G315" s="547"/>
      <c r="H315" s="547"/>
      <c r="I315" s="547"/>
      <c r="J315" s="547"/>
      <c r="K315" s="547"/>
      <c r="L315" s="547"/>
      <c r="M315" s="547"/>
      <c r="N315" s="547"/>
      <c r="O315" s="547"/>
      <c r="P315" s="547"/>
      <c r="Q315" s="547"/>
      <c r="R315" s="547"/>
      <c r="S315" s="547"/>
      <c r="T315" s="547"/>
      <c r="U315" s="547"/>
      <c r="V315" s="547"/>
      <c r="W315" s="547"/>
      <c r="X315" s="547"/>
      <c r="Y315" s="547"/>
      <c r="Z315" s="547"/>
      <c r="AA315" s="547"/>
      <c r="AB315" s="547"/>
      <c r="AC315" s="547"/>
      <c r="AD315" s="547"/>
      <c r="AE315" s="547"/>
      <c r="AF315" s="547"/>
      <c r="AG315" s="547"/>
      <c r="AH315" s="547"/>
      <c r="AI315" s="547"/>
      <c r="AJ315" s="547"/>
      <c r="AK315" s="547"/>
      <c r="AL315" s="547"/>
      <c r="AM315" s="547"/>
      <c r="AN315" s="547"/>
      <c r="AO315" s="547"/>
      <c r="AP315" s="547"/>
      <c r="AQ315" s="547"/>
      <c r="AR315" s="547"/>
      <c r="AS315" s="547"/>
      <c r="AT315" s="547"/>
      <c r="AU315" s="547"/>
      <c r="AV315" s="547"/>
      <c r="AW315" s="547"/>
      <c r="AX315" s="547"/>
      <c r="AY315" s="547"/>
      <c r="AZ315" s="547"/>
      <c r="BA315" s="547"/>
      <c r="BB315" s="547"/>
      <c r="BC315" s="547"/>
      <c r="BD315" s="547"/>
      <c r="BE315" s="547"/>
      <c r="BF315" s="547"/>
      <c r="BG315" s="547"/>
      <c r="BH315" s="547"/>
      <c r="BI315" s="547"/>
      <c r="BJ315" s="547"/>
      <c r="BK315" s="547"/>
      <c r="BL315" s="547"/>
      <c r="BM315" s="547"/>
      <c r="BN315" s="547"/>
      <c r="BO315" s="547"/>
      <c r="BP315" s="547"/>
      <c r="BQ315" s="547"/>
      <c r="BR315" s="547"/>
      <c r="BS315" s="547"/>
      <c r="BT315" s="547"/>
      <c r="BU315" s="547"/>
      <c r="BV315" s="547"/>
      <c r="BW315" s="547"/>
      <c r="BX315" s="547"/>
      <c r="BY315" s="547"/>
      <c r="BZ315" s="547"/>
      <c r="CA315" s="547"/>
      <c r="CB315" s="547"/>
      <c r="CC315" s="547"/>
    </row>
    <row r="316" spans="1:81">
      <c r="A316" s="547"/>
      <c r="B316" s="547"/>
      <c r="C316" s="547"/>
      <c r="D316" s="547"/>
      <c r="E316" s="547"/>
      <c r="F316" s="547"/>
      <c r="G316" s="547"/>
      <c r="H316" s="547"/>
      <c r="I316" s="547"/>
      <c r="J316" s="547"/>
      <c r="K316" s="547"/>
      <c r="L316" s="547"/>
      <c r="M316" s="547"/>
      <c r="N316" s="547"/>
      <c r="O316" s="547"/>
      <c r="P316" s="547"/>
      <c r="Q316" s="547"/>
      <c r="R316" s="547"/>
      <c r="S316" s="547"/>
      <c r="T316" s="547"/>
      <c r="U316" s="547"/>
      <c r="V316" s="547"/>
      <c r="W316" s="547"/>
      <c r="X316" s="547"/>
      <c r="Y316" s="547"/>
      <c r="Z316" s="547"/>
      <c r="AA316" s="547"/>
      <c r="AB316" s="547"/>
      <c r="AC316" s="547"/>
      <c r="AD316" s="547"/>
      <c r="AE316" s="547"/>
      <c r="AF316" s="547"/>
      <c r="AG316" s="547"/>
      <c r="AH316" s="547"/>
      <c r="AI316" s="547"/>
      <c r="AJ316" s="547"/>
      <c r="AK316" s="547"/>
      <c r="AL316" s="547"/>
      <c r="AM316" s="547"/>
      <c r="AN316" s="547"/>
      <c r="AO316" s="547"/>
      <c r="AP316" s="547"/>
      <c r="AQ316" s="547"/>
      <c r="AR316" s="547"/>
      <c r="AS316" s="547"/>
      <c r="AT316" s="547"/>
      <c r="AU316" s="547"/>
      <c r="AV316" s="547"/>
      <c r="AW316" s="547"/>
      <c r="AX316" s="547"/>
      <c r="AY316" s="547"/>
      <c r="AZ316" s="547"/>
      <c r="BA316" s="547"/>
      <c r="BB316" s="547"/>
      <c r="BC316" s="547"/>
      <c r="BD316" s="547"/>
      <c r="BE316" s="547"/>
      <c r="BF316" s="547"/>
      <c r="BG316" s="547"/>
      <c r="BH316" s="547"/>
      <c r="BI316" s="547"/>
      <c r="BJ316" s="547"/>
      <c r="BK316" s="547"/>
      <c r="BL316" s="547"/>
      <c r="BM316" s="547"/>
      <c r="BN316" s="547"/>
      <c r="BO316" s="547"/>
      <c r="BP316" s="547"/>
      <c r="BQ316" s="547"/>
      <c r="BR316" s="547"/>
      <c r="BS316" s="547"/>
      <c r="BT316" s="547"/>
      <c r="BU316" s="547"/>
      <c r="BV316" s="547"/>
      <c r="BW316" s="547"/>
      <c r="BX316" s="547"/>
      <c r="BY316" s="547"/>
      <c r="BZ316" s="547"/>
      <c r="CA316" s="547"/>
      <c r="CB316" s="547"/>
      <c r="CC316" s="547"/>
    </row>
    <row r="317" spans="1:81">
      <c r="A317" s="547"/>
      <c r="B317" s="547"/>
      <c r="C317" s="547"/>
      <c r="D317" s="547"/>
      <c r="E317" s="547"/>
      <c r="F317" s="547"/>
      <c r="G317" s="547"/>
      <c r="H317" s="547"/>
      <c r="I317" s="547"/>
      <c r="J317" s="547"/>
      <c r="K317" s="547"/>
      <c r="L317" s="547"/>
      <c r="M317" s="547"/>
      <c r="N317" s="547"/>
      <c r="O317" s="547"/>
      <c r="P317" s="547"/>
      <c r="Q317" s="547"/>
      <c r="R317" s="547"/>
      <c r="S317" s="547"/>
      <c r="T317" s="547"/>
      <c r="U317" s="547"/>
      <c r="V317" s="547"/>
      <c r="W317" s="547"/>
      <c r="X317" s="547"/>
      <c r="Y317" s="547"/>
      <c r="Z317" s="547"/>
      <c r="AA317" s="547"/>
      <c r="AB317" s="547"/>
      <c r="AC317" s="547"/>
      <c r="AD317" s="547"/>
      <c r="AE317" s="547"/>
      <c r="AF317" s="547"/>
      <c r="AG317" s="547"/>
      <c r="AH317" s="547"/>
      <c r="AI317" s="547"/>
      <c r="AJ317" s="547"/>
      <c r="AK317" s="547"/>
      <c r="AL317" s="547"/>
      <c r="AM317" s="547"/>
      <c r="AN317" s="547"/>
      <c r="AO317" s="547"/>
      <c r="AP317" s="547"/>
      <c r="AQ317" s="547"/>
      <c r="AR317" s="547"/>
      <c r="AS317" s="547"/>
      <c r="AT317" s="547"/>
      <c r="AU317" s="547"/>
      <c r="AV317" s="547"/>
      <c r="AW317" s="547"/>
      <c r="AX317" s="547"/>
      <c r="AY317" s="547"/>
      <c r="AZ317" s="547"/>
      <c r="BA317" s="547"/>
      <c r="BB317" s="547"/>
      <c r="BC317" s="547"/>
      <c r="BD317" s="547"/>
      <c r="BE317" s="547"/>
      <c r="BF317" s="547"/>
      <c r="BG317" s="547"/>
      <c r="BH317" s="547"/>
      <c r="BI317" s="547"/>
      <c r="BJ317" s="547"/>
      <c r="BK317" s="547"/>
      <c r="BL317" s="547"/>
      <c r="BM317" s="547"/>
      <c r="BN317" s="547"/>
      <c r="BO317" s="547"/>
      <c r="BP317" s="547"/>
      <c r="BQ317" s="547"/>
      <c r="BR317" s="547"/>
      <c r="BS317" s="547"/>
      <c r="BT317" s="547"/>
      <c r="BU317" s="547"/>
      <c r="BV317" s="547"/>
      <c r="BW317" s="547"/>
      <c r="BX317" s="547"/>
      <c r="BY317" s="547"/>
      <c r="BZ317" s="547"/>
      <c r="CA317" s="547"/>
      <c r="CB317" s="547"/>
      <c r="CC317" s="547"/>
    </row>
    <row r="318" spans="1:81">
      <c r="A318" s="547"/>
      <c r="B318" s="547"/>
      <c r="C318" s="547"/>
      <c r="D318" s="547"/>
      <c r="E318" s="547"/>
      <c r="F318" s="547"/>
      <c r="G318" s="547"/>
      <c r="H318" s="547"/>
      <c r="I318" s="547"/>
      <c r="J318" s="547"/>
      <c r="K318" s="547"/>
      <c r="L318" s="547"/>
      <c r="M318" s="547"/>
      <c r="N318" s="547"/>
      <c r="O318" s="547"/>
      <c r="P318" s="547"/>
      <c r="Q318" s="547"/>
      <c r="R318" s="547"/>
      <c r="S318" s="547"/>
      <c r="T318" s="547"/>
      <c r="U318" s="547"/>
      <c r="V318" s="547"/>
      <c r="W318" s="547"/>
      <c r="X318" s="547"/>
      <c r="Y318" s="547"/>
      <c r="Z318" s="547"/>
      <c r="AA318" s="547"/>
      <c r="AB318" s="547"/>
      <c r="AC318" s="547"/>
      <c r="AD318" s="547"/>
      <c r="AE318" s="547"/>
      <c r="AF318" s="547"/>
      <c r="AG318" s="547"/>
      <c r="AH318" s="547"/>
      <c r="AI318" s="547"/>
      <c r="AJ318" s="547"/>
      <c r="AK318" s="547"/>
      <c r="AL318" s="547"/>
      <c r="AM318" s="547"/>
      <c r="AN318" s="547"/>
      <c r="AO318" s="547"/>
      <c r="AP318" s="547"/>
      <c r="AQ318" s="547"/>
      <c r="AR318" s="547"/>
      <c r="AS318" s="547"/>
      <c r="AT318" s="547"/>
      <c r="AU318" s="547"/>
      <c r="AV318" s="547"/>
      <c r="AW318" s="547"/>
      <c r="AX318" s="547"/>
      <c r="AY318" s="547"/>
      <c r="AZ318" s="547"/>
      <c r="BA318" s="547"/>
      <c r="BB318" s="547"/>
      <c r="BC318" s="547"/>
      <c r="BD318" s="547"/>
      <c r="BE318" s="547"/>
      <c r="BF318" s="547"/>
      <c r="BG318" s="547"/>
      <c r="BH318" s="547"/>
      <c r="BI318" s="547"/>
      <c r="BJ318" s="547"/>
      <c r="BK318" s="547"/>
      <c r="BL318" s="547"/>
      <c r="BM318" s="547"/>
      <c r="BN318" s="547"/>
      <c r="BO318" s="547"/>
      <c r="BP318" s="547"/>
      <c r="BQ318" s="547"/>
      <c r="BR318" s="547"/>
      <c r="BS318" s="547"/>
      <c r="BT318" s="547"/>
      <c r="BU318" s="547"/>
      <c r="BV318" s="547"/>
      <c r="BW318" s="547"/>
      <c r="BX318" s="547"/>
      <c r="BY318" s="547"/>
      <c r="BZ318" s="547"/>
      <c r="CA318" s="547"/>
      <c r="CB318" s="547"/>
      <c r="CC318" s="547"/>
    </row>
    <row r="319" spans="1:81">
      <c r="A319" s="547"/>
      <c r="B319" s="547"/>
      <c r="C319" s="547"/>
      <c r="D319" s="547"/>
      <c r="E319" s="547"/>
      <c r="F319" s="547"/>
      <c r="G319" s="547"/>
      <c r="H319" s="547"/>
      <c r="I319" s="547"/>
      <c r="J319" s="547"/>
      <c r="K319" s="547"/>
      <c r="L319" s="547"/>
      <c r="M319" s="547"/>
      <c r="N319" s="547"/>
      <c r="O319" s="547"/>
      <c r="P319" s="547"/>
      <c r="Q319" s="547"/>
      <c r="R319" s="547"/>
      <c r="S319" s="547"/>
      <c r="T319" s="547"/>
      <c r="U319" s="547"/>
      <c r="V319" s="547"/>
      <c r="W319" s="547"/>
      <c r="X319" s="547"/>
      <c r="Y319" s="547"/>
      <c r="Z319" s="547"/>
      <c r="AA319" s="547"/>
      <c r="AB319" s="547"/>
      <c r="AC319" s="547"/>
      <c r="AD319" s="547"/>
      <c r="AE319" s="547"/>
      <c r="AF319" s="547"/>
      <c r="AG319" s="547"/>
      <c r="AH319" s="547"/>
      <c r="AI319" s="547"/>
      <c r="AJ319" s="547"/>
      <c r="AK319" s="547"/>
      <c r="AL319" s="547"/>
      <c r="AM319" s="547"/>
      <c r="AN319" s="547"/>
      <c r="AO319" s="547"/>
      <c r="AP319" s="547"/>
      <c r="AQ319" s="547"/>
      <c r="AR319" s="547"/>
      <c r="AS319" s="547"/>
      <c r="AT319" s="547"/>
      <c r="AU319" s="547"/>
      <c r="AV319" s="547"/>
      <c r="AW319" s="547"/>
      <c r="AX319" s="547"/>
      <c r="AY319" s="547"/>
      <c r="AZ319" s="547"/>
      <c r="BA319" s="547"/>
      <c r="BB319" s="547"/>
      <c r="BC319" s="547"/>
      <c r="BD319" s="547"/>
      <c r="BE319" s="547"/>
      <c r="BF319" s="547"/>
      <c r="BG319" s="547"/>
      <c r="BH319" s="547"/>
      <c r="BI319" s="547"/>
      <c r="BJ319" s="547"/>
      <c r="BK319" s="547"/>
      <c r="BL319" s="547"/>
      <c r="BM319" s="547"/>
      <c r="BN319" s="547"/>
      <c r="BO319" s="547"/>
      <c r="BP319" s="547"/>
      <c r="BQ319" s="547"/>
      <c r="BR319" s="547"/>
      <c r="BS319" s="547"/>
      <c r="BT319" s="547"/>
      <c r="BU319" s="547"/>
      <c r="BV319" s="547"/>
      <c r="BW319" s="547"/>
      <c r="BX319" s="547"/>
      <c r="BY319" s="547"/>
      <c r="BZ319" s="547"/>
      <c r="CA319" s="547"/>
      <c r="CB319" s="547"/>
      <c r="CC319" s="547"/>
    </row>
    <row r="320" spans="1:81">
      <c r="A320" s="547"/>
      <c r="B320" s="547"/>
      <c r="C320" s="547"/>
      <c r="D320" s="547"/>
      <c r="E320" s="547"/>
      <c r="F320" s="547"/>
      <c r="G320" s="547"/>
      <c r="H320" s="547"/>
      <c r="I320" s="547"/>
      <c r="J320" s="547"/>
      <c r="K320" s="547"/>
      <c r="L320" s="547"/>
      <c r="M320" s="547"/>
      <c r="N320" s="547"/>
      <c r="O320" s="547"/>
      <c r="P320" s="547"/>
      <c r="Q320" s="547"/>
      <c r="R320" s="547"/>
      <c r="S320" s="547"/>
      <c r="T320" s="547"/>
      <c r="U320" s="547"/>
      <c r="V320" s="547"/>
      <c r="W320" s="547"/>
      <c r="X320" s="547"/>
      <c r="Y320" s="547"/>
      <c r="Z320" s="547"/>
      <c r="AA320" s="547"/>
      <c r="AB320" s="547"/>
      <c r="AC320" s="547"/>
      <c r="AD320" s="547"/>
      <c r="AE320" s="547"/>
      <c r="AF320" s="547"/>
      <c r="AG320" s="547"/>
      <c r="AH320" s="547"/>
      <c r="AI320" s="547"/>
      <c r="AJ320" s="547"/>
      <c r="AK320" s="547"/>
      <c r="AL320" s="547"/>
      <c r="AM320" s="547"/>
      <c r="AN320" s="547"/>
      <c r="AO320" s="547"/>
      <c r="AP320" s="547"/>
      <c r="AQ320" s="547"/>
      <c r="AR320" s="547"/>
      <c r="AS320" s="547"/>
      <c r="AT320" s="547"/>
      <c r="AU320" s="547"/>
      <c r="AV320" s="547"/>
      <c r="AW320" s="547"/>
      <c r="AX320" s="547"/>
      <c r="AY320" s="547"/>
      <c r="AZ320" s="547"/>
      <c r="BA320" s="547"/>
      <c r="BB320" s="547"/>
      <c r="BC320" s="547"/>
      <c r="BD320" s="547"/>
      <c r="BE320" s="547"/>
      <c r="BF320" s="547"/>
      <c r="BG320" s="547"/>
      <c r="BH320" s="547"/>
      <c r="BI320" s="547"/>
      <c r="BJ320" s="547"/>
      <c r="BK320" s="547"/>
      <c r="BL320" s="547"/>
      <c r="BM320" s="547"/>
      <c r="BN320" s="547"/>
      <c r="BO320" s="547"/>
      <c r="BP320" s="547"/>
      <c r="BQ320" s="547"/>
      <c r="BR320" s="547"/>
      <c r="BS320" s="547"/>
      <c r="BT320" s="547"/>
      <c r="BU320" s="547"/>
      <c r="BV320" s="547"/>
      <c r="BW320" s="547"/>
      <c r="BX320" s="547"/>
      <c r="BY320" s="547"/>
      <c r="BZ320" s="547"/>
      <c r="CA320" s="547"/>
      <c r="CB320" s="547"/>
      <c r="CC320" s="547"/>
    </row>
    <row r="321" spans="1:81">
      <c r="A321" s="547"/>
      <c r="B321" s="547"/>
      <c r="C321" s="547"/>
      <c r="D321" s="547"/>
      <c r="E321" s="547"/>
      <c r="F321" s="547"/>
      <c r="G321" s="547"/>
      <c r="H321" s="547"/>
      <c r="I321" s="547"/>
      <c r="J321" s="547"/>
      <c r="K321" s="547"/>
      <c r="L321" s="547"/>
      <c r="M321" s="547"/>
      <c r="N321" s="547"/>
      <c r="O321" s="547"/>
      <c r="P321" s="547"/>
      <c r="Q321" s="547"/>
      <c r="R321" s="547"/>
      <c r="S321" s="547"/>
      <c r="T321" s="547"/>
      <c r="U321" s="547"/>
      <c r="V321" s="547"/>
      <c r="W321" s="547"/>
      <c r="X321" s="547"/>
      <c r="Y321" s="547"/>
      <c r="Z321" s="547"/>
      <c r="AA321" s="547"/>
      <c r="AB321" s="547"/>
      <c r="AC321" s="547"/>
      <c r="AD321" s="547"/>
      <c r="AE321" s="547"/>
      <c r="AF321" s="547"/>
      <c r="AG321" s="547"/>
      <c r="AH321" s="547"/>
      <c r="AI321" s="547"/>
      <c r="AJ321" s="547"/>
      <c r="AK321" s="547"/>
      <c r="AL321" s="547"/>
      <c r="AM321" s="547"/>
      <c r="AN321" s="547"/>
      <c r="AO321" s="547"/>
      <c r="AP321" s="547"/>
      <c r="AQ321" s="547"/>
      <c r="AR321" s="547"/>
      <c r="AS321" s="547"/>
      <c r="AT321" s="547"/>
      <c r="AU321" s="547"/>
      <c r="AV321" s="547"/>
      <c r="AW321" s="547"/>
      <c r="AX321" s="547"/>
      <c r="AY321" s="547"/>
      <c r="AZ321" s="547"/>
      <c r="BA321" s="547"/>
      <c r="BB321" s="547"/>
      <c r="BC321" s="547"/>
      <c r="BD321" s="547"/>
      <c r="BE321" s="547"/>
      <c r="BF321" s="547"/>
      <c r="BG321" s="547"/>
      <c r="BH321" s="547"/>
      <c r="BI321" s="547"/>
      <c r="BJ321" s="547"/>
      <c r="BK321" s="547"/>
      <c r="BL321" s="547"/>
      <c r="BM321" s="547"/>
      <c r="BN321" s="547"/>
      <c r="BO321" s="547"/>
      <c r="BP321" s="547"/>
      <c r="BQ321" s="547"/>
      <c r="BR321" s="547"/>
      <c r="BS321" s="547"/>
      <c r="BT321" s="547"/>
      <c r="BU321" s="547"/>
      <c r="BV321" s="547"/>
      <c r="BW321" s="547"/>
      <c r="BX321" s="547"/>
      <c r="BY321" s="547"/>
      <c r="BZ321" s="547"/>
      <c r="CA321" s="547"/>
      <c r="CB321" s="547"/>
      <c r="CC321" s="547"/>
    </row>
    <row r="322" spans="1:81">
      <c r="A322" s="547"/>
      <c r="B322" s="547"/>
      <c r="C322" s="547"/>
      <c r="D322" s="547"/>
      <c r="E322" s="547"/>
      <c r="F322" s="547"/>
      <c r="G322" s="547"/>
      <c r="H322" s="547"/>
      <c r="I322" s="547"/>
      <c r="J322" s="547"/>
      <c r="K322" s="547"/>
      <c r="L322" s="547"/>
      <c r="M322" s="547"/>
      <c r="N322" s="547"/>
      <c r="O322" s="547"/>
      <c r="P322" s="547"/>
      <c r="Q322" s="547"/>
      <c r="R322" s="547"/>
      <c r="S322" s="547"/>
      <c r="T322" s="547"/>
      <c r="U322" s="547"/>
      <c r="V322" s="547"/>
      <c r="W322" s="547"/>
      <c r="X322" s="547"/>
      <c r="Y322" s="547"/>
      <c r="Z322" s="547"/>
      <c r="AA322" s="547"/>
      <c r="AB322" s="547"/>
      <c r="AC322" s="547"/>
      <c r="AD322" s="547"/>
      <c r="AE322" s="547"/>
      <c r="AF322" s="547"/>
      <c r="AG322" s="547"/>
      <c r="AH322" s="547"/>
      <c r="AI322" s="547"/>
      <c r="AJ322" s="547"/>
      <c r="AK322" s="547"/>
      <c r="AL322" s="547"/>
      <c r="AM322" s="547"/>
      <c r="AN322" s="547"/>
      <c r="AO322" s="547"/>
      <c r="AP322" s="547"/>
      <c r="AQ322" s="547"/>
      <c r="AR322" s="547"/>
      <c r="AS322" s="547"/>
      <c r="AT322" s="547"/>
      <c r="AU322" s="547"/>
      <c r="AV322" s="547"/>
      <c r="AW322" s="547"/>
      <c r="AX322" s="547"/>
      <c r="AY322" s="547"/>
      <c r="AZ322" s="547"/>
      <c r="BA322" s="547"/>
      <c r="BB322" s="547"/>
      <c r="BC322" s="547"/>
      <c r="BD322" s="547"/>
      <c r="BE322" s="547"/>
      <c r="BF322" s="547"/>
      <c r="BG322" s="547"/>
      <c r="BH322" s="547"/>
      <c r="BI322" s="547"/>
      <c r="BJ322" s="547"/>
      <c r="BK322" s="547"/>
      <c r="BL322" s="547"/>
      <c r="BM322" s="547"/>
      <c r="BN322" s="547"/>
      <c r="BO322" s="547"/>
      <c r="BP322" s="547"/>
      <c r="BQ322" s="547"/>
      <c r="BR322" s="547"/>
      <c r="BS322" s="547"/>
      <c r="BT322" s="547"/>
      <c r="BU322" s="547"/>
      <c r="BV322" s="547"/>
      <c r="BW322" s="547"/>
      <c r="BX322" s="547"/>
      <c r="BY322" s="547"/>
      <c r="BZ322" s="547"/>
      <c r="CA322" s="547"/>
      <c r="CB322" s="547"/>
      <c r="CC322" s="547"/>
    </row>
    <row r="323" spans="1:81">
      <c r="A323" s="547"/>
      <c r="B323" s="547"/>
      <c r="C323" s="547"/>
      <c r="D323" s="547"/>
      <c r="E323" s="547"/>
      <c r="F323" s="547"/>
      <c r="G323" s="547"/>
      <c r="H323" s="547"/>
      <c r="I323" s="547"/>
      <c r="J323" s="547"/>
      <c r="K323" s="547"/>
      <c r="L323" s="547"/>
      <c r="M323" s="547"/>
      <c r="N323" s="547"/>
      <c r="O323" s="547"/>
      <c r="P323" s="547"/>
      <c r="Q323" s="547"/>
      <c r="R323" s="547"/>
      <c r="S323" s="547"/>
      <c r="T323" s="547"/>
      <c r="U323" s="547"/>
      <c r="V323" s="547"/>
      <c r="W323" s="547"/>
      <c r="X323" s="547"/>
      <c r="Y323" s="547"/>
      <c r="Z323" s="547"/>
      <c r="AA323" s="547"/>
      <c r="AB323" s="547"/>
      <c r="AC323" s="547"/>
      <c r="AD323" s="547"/>
      <c r="AE323" s="547"/>
      <c r="AF323" s="547"/>
      <c r="AG323" s="547"/>
      <c r="AH323" s="547"/>
      <c r="AI323" s="547"/>
      <c r="AJ323" s="547"/>
      <c r="AK323" s="547"/>
      <c r="AL323" s="547"/>
      <c r="AM323" s="547"/>
      <c r="AN323" s="547"/>
      <c r="AO323" s="547"/>
      <c r="AP323" s="547"/>
      <c r="AQ323" s="547"/>
      <c r="AR323" s="547"/>
      <c r="AS323" s="547"/>
      <c r="AT323" s="547"/>
      <c r="AU323" s="547"/>
      <c r="AV323" s="547"/>
      <c r="AW323" s="547"/>
      <c r="AX323" s="547"/>
      <c r="AY323" s="547"/>
      <c r="AZ323" s="547"/>
      <c r="BA323" s="547"/>
      <c r="BB323" s="547"/>
      <c r="BC323" s="547"/>
      <c r="BD323" s="547"/>
      <c r="BE323" s="547"/>
      <c r="BF323" s="547"/>
      <c r="BG323" s="547"/>
      <c r="BH323" s="547"/>
      <c r="BI323" s="547"/>
      <c r="BJ323" s="547"/>
      <c r="BK323" s="547"/>
      <c r="BL323" s="547"/>
      <c r="BM323" s="547"/>
      <c r="BN323" s="547"/>
      <c r="BO323" s="547"/>
      <c r="BP323" s="547"/>
      <c r="BQ323" s="547"/>
      <c r="BR323" s="547"/>
      <c r="BS323" s="547"/>
      <c r="BT323" s="547"/>
      <c r="BU323" s="547"/>
      <c r="BV323" s="547"/>
      <c r="BW323" s="547"/>
      <c r="BX323" s="547"/>
      <c r="BY323" s="547"/>
      <c r="BZ323" s="547"/>
      <c r="CA323" s="547"/>
      <c r="CB323" s="547"/>
      <c r="CC323" s="547"/>
    </row>
    <row r="324" spans="1:81">
      <c r="A324" s="547"/>
      <c r="B324" s="547"/>
      <c r="C324" s="547"/>
      <c r="D324" s="547"/>
      <c r="E324" s="547"/>
      <c r="F324" s="547"/>
      <c r="G324" s="547"/>
      <c r="H324" s="547"/>
      <c r="I324" s="547"/>
      <c r="J324" s="547"/>
      <c r="K324" s="547"/>
      <c r="L324" s="547"/>
      <c r="M324" s="547"/>
      <c r="N324" s="547"/>
      <c r="O324" s="547"/>
      <c r="P324" s="547"/>
      <c r="Q324" s="547"/>
      <c r="R324" s="547"/>
      <c r="S324" s="547"/>
      <c r="T324" s="547"/>
      <c r="U324" s="547"/>
      <c r="V324" s="547"/>
      <c r="W324" s="547"/>
      <c r="X324" s="547"/>
      <c r="Y324" s="547"/>
      <c r="Z324" s="547"/>
      <c r="AA324" s="547"/>
      <c r="AB324" s="547"/>
      <c r="AC324" s="547"/>
      <c r="AD324" s="547"/>
      <c r="AE324" s="547"/>
      <c r="AF324" s="547"/>
      <c r="AG324" s="547"/>
      <c r="AH324" s="547"/>
      <c r="AI324" s="547"/>
      <c r="AJ324" s="547"/>
      <c r="AK324" s="547"/>
      <c r="AL324" s="547"/>
      <c r="AM324" s="547"/>
      <c r="AN324" s="547"/>
      <c r="AO324" s="547"/>
      <c r="AP324" s="547"/>
      <c r="AQ324" s="547"/>
      <c r="AR324" s="547"/>
      <c r="AS324" s="547"/>
      <c r="AT324" s="547"/>
      <c r="AU324" s="547"/>
      <c r="AV324" s="547"/>
      <c r="AW324" s="547"/>
      <c r="AX324" s="547"/>
      <c r="AY324" s="547"/>
      <c r="AZ324" s="547"/>
      <c r="BA324" s="547"/>
      <c r="BB324" s="547"/>
      <c r="BC324" s="547"/>
      <c r="BD324" s="547"/>
      <c r="BE324" s="547"/>
      <c r="BF324" s="547"/>
      <c r="BG324" s="547"/>
      <c r="BH324" s="547"/>
      <c r="BI324" s="547"/>
      <c r="BJ324" s="547"/>
      <c r="BK324" s="547"/>
      <c r="BL324" s="547"/>
      <c r="BM324" s="547"/>
      <c r="BN324" s="547"/>
      <c r="BO324" s="547"/>
      <c r="BP324" s="547"/>
      <c r="BQ324" s="547"/>
      <c r="BR324" s="547"/>
      <c r="BS324" s="547"/>
      <c r="BT324" s="547"/>
      <c r="BU324" s="547"/>
      <c r="BV324" s="547"/>
      <c r="BW324" s="547"/>
      <c r="BX324" s="547"/>
      <c r="BY324" s="547"/>
      <c r="BZ324" s="547"/>
      <c r="CA324" s="547"/>
      <c r="CB324" s="547"/>
      <c r="CC324" s="547"/>
    </row>
    <row r="325" spans="1:81">
      <c r="A325" s="547"/>
      <c r="B325" s="547"/>
      <c r="C325" s="547"/>
      <c r="D325" s="547"/>
      <c r="E325" s="547"/>
      <c r="F325" s="547"/>
      <c r="G325" s="547"/>
      <c r="H325" s="547"/>
      <c r="I325" s="547"/>
      <c r="J325" s="547"/>
      <c r="K325" s="547"/>
      <c r="L325" s="547"/>
      <c r="M325" s="547"/>
      <c r="N325" s="547"/>
      <c r="O325" s="547"/>
      <c r="P325" s="547"/>
      <c r="Q325" s="547"/>
      <c r="R325" s="547"/>
      <c r="S325" s="547"/>
      <c r="T325" s="547"/>
      <c r="U325" s="547"/>
      <c r="V325" s="547"/>
      <c r="W325" s="547"/>
      <c r="X325" s="547"/>
      <c r="Y325" s="547"/>
      <c r="Z325" s="547"/>
      <c r="AA325" s="547"/>
      <c r="AB325" s="547"/>
      <c r="AC325" s="547"/>
      <c r="AD325" s="547"/>
      <c r="AE325" s="547"/>
      <c r="AF325" s="547"/>
      <c r="AG325" s="547"/>
      <c r="AH325" s="547"/>
      <c r="AI325" s="547"/>
      <c r="AJ325" s="547"/>
      <c r="AK325" s="547"/>
      <c r="AL325" s="547"/>
      <c r="AM325" s="547"/>
      <c r="AN325" s="547"/>
      <c r="AO325" s="547"/>
      <c r="AP325" s="547"/>
      <c r="AQ325" s="547"/>
      <c r="AR325" s="547"/>
      <c r="AS325" s="547"/>
      <c r="AT325" s="547"/>
      <c r="AU325" s="547"/>
      <c r="AV325" s="547"/>
      <c r="AW325" s="547"/>
      <c r="AX325" s="547"/>
      <c r="AY325" s="547"/>
      <c r="AZ325" s="547"/>
      <c r="BA325" s="547"/>
      <c r="BB325" s="547"/>
      <c r="BC325" s="547"/>
      <c r="BD325" s="547"/>
      <c r="BE325" s="547"/>
      <c r="BF325" s="547"/>
      <c r="BG325" s="547"/>
      <c r="BH325" s="547"/>
      <c r="BI325" s="547"/>
      <c r="BJ325" s="547"/>
      <c r="BK325" s="547"/>
      <c r="BL325" s="547"/>
      <c r="BM325" s="547"/>
      <c r="BN325" s="547"/>
      <c r="BO325" s="547"/>
      <c r="BP325" s="547"/>
      <c r="BQ325" s="547"/>
      <c r="BR325" s="547"/>
      <c r="BS325" s="547"/>
      <c r="BT325" s="547"/>
      <c r="BU325" s="547"/>
      <c r="BV325" s="547"/>
      <c r="BW325" s="547"/>
      <c r="BX325" s="547"/>
      <c r="BY325" s="547"/>
      <c r="BZ325" s="547"/>
      <c r="CA325" s="547"/>
      <c r="CB325" s="547"/>
      <c r="CC325" s="547"/>
    </row>
    <row r="326" spans="1:81">
      <c r="A326" s="547"/>
      <c r="B326" s="547"/>
      <c r="C326" s="547"/>
      <c r="D326" s="547"/>
      <c r="E326" s="547"/>
      <c r="F326" s="547"/>
      <c r="G326" s="547"/>
      <c r="H326" s="547"/>
      <c r="I326" s="547"/>
      <c r="J326" s="547"/>
      <c r="K326" s="547"/>
      <c r="L326" s="547"/>
      <c r="M326" s="547"/>
      <c r="N326" s="547"/>
      <c r="O326" s="547"/>
      <c r="P326" s="547"/>
      <c r="Q326" s="547"/>
      <c r="R326" s="547"/>
      <c r="S326" s="547"/>
      <c r="T326" s="547"/>
      <c r="U326" s="547"/>
      <c r="V326" s="547"/>
      <c r="W326" s="547"/>
      <c r="X326" s="547"/>
      <c r="Y326" s="547"/>
      <c r="Z326" s="547"/>
      <c r="AA326" s="547"/>
      <c r="AB326" s="547"/>
      <c r="AC326" s="547"/>
      <c r="AD326" s="547"/>
      <c r="AE326" s="547"/>
      <c r="AF326" s="547"/>
      <c r="AG326" s="547"/>
      <c r="AH326" s="547"/>
      <c r="AI326" s="547"/>
      <c r="AJ326" s="547"/>
      <c r="AK326" s="547"/>
      <c r="AL326" s="547"/>
      <c r="AM326" s="547"/>
      <c r="AN326" s="547"/>
      <c r="AO326" s="547"/>
      <c r="AP326" s="547"/>
      <c r="AQ326" s="547"/>
      <c r="AR326" s="547"/>
      <c r="AS326" s="547"/>
      <c r="AT326" s="547"/>
      <c r="AU326" s="547"/>
      <c r="AV326" s="547"/>
      <c r="AW326" s="547"/>
      <c r="AX326" s="547"/>
      <c r="AY326" s="547"/>
      <c r="AZ326" s="547"/>
      <c r="BA326" s="547"/>
      <c r="BB326" s="547"/>
      <c r="BC326" s="547"/>
      <c r="BD326" s="547"/>
      <c r="BE326" s="547"/>
      <c r="BF326" s="547"/>
      <c r="BG326" s="547"/>
      <c r="BH326" s="547"/>
      <c r="BI326" s="547"/>
      <c r="BJ326" s="547"/>
      <c r="BK326" s="547"/>
      <c r="BL326" s="547"/>
      <c r="BM326" s="547"/>
      <c r="BN326" s="547"/>
      <c r="BO326" s="547"/>
      <c r="BP326" s="547"/>
      <c r="BQ326" s="547"/>
      <c r="BR326" s="547"/>
      <c r="BS326" s="547"/>
      <c r="BT326" s="547"/>
      <c r="BU326" s="547"/>
      <c r="BV326" s="547"/>
      <c r="BW326" s="547"/>
      <c r="BX326" s="547"/>
      <c r="BY326" s="547"/>
      <c r="BZ326" s="547"/>
      <c r="CA326" s="547"/>
      <c r="CB326" s="547"/>
      <c r="CC326" s="547"/>
    </row>
    <row r="327" spans="1:81">
      <c r="A327" s="547"/>
      <c r="B327" s="547"/>
      <c r="C327" s="547"/>
      <c r="D327" s="547"/>
      <c r="E327" s="547"/>
      <c r="F327" s="547"/>
      <c r="G327" s="547"/>
      <c r="H327" s="547"/>
      <c r="I327" s="547"/>
      <c r="J327" s="547"/>
      <c r="K327" s="547"/>
      <c r="L327" s="547"/>
      <c r="M327" s="547"/>
      <c r="N327" s="547"/>
      <c r="O327" s="547"/>
      <c r="P327" s="547"/>
      <c r="Q327" s="547"/>
      <c r="R327" s="547"/>
      <c r="S327" s="547"/>
      <c r="T327" s="547"/>
      <c r="U327" s="547"/>
      <c r="V327" s="547"/>
      <c r="W327" s="547"/>
      <c r="X327" s="547"/>
      <c r="Y327" s="547"/>
      <c r="Z327" s="547"/>
      <c r="AA327" s="547"/>
      <c r="AB327" s="547"/>
      <c r="AC327" s="547"/>
      <c r="AD327" s="547"/>
      <c r="AE327" s="547"/>
      <c r="AF327" s="547"/>
      <c r="AG327" s="547"/>
      <c r="AH327" s="547"/>
      <c r="AI327" s="547"/>
      <c r="AJ327" s="547"/>
      <c r="AK327" s="547"/>
      <c r="AL327" s="547"/>
      <c r="AM327" s="547"/>
      <c r="AN327" s="547"/>
      <c r="AO327" s="547"/>
      <c r="AP327" s="547"/>
      <c r="AQ327" s="547"/>
      <c r="AR327" s="547"/>
      <c r="AS327" s="547"/>
      <c r="AT327" s="547"/>
      <c r="AU327" s="547"/>
      <c r="AV327" s="547"/>
      <c r="AW327" s="547"/>
      <c r="AX327" s="547"/>
      <c r="AY327" s="547"/>
      <c r="AZ327" s="547"/>
      <c r="BA327" s="547"/>
      <c r="BB327" s="547"/>
      <c r="BC327" s="547"/>
      <c r="BD327" s="547"/>
      <c r="BE327" s="547"/>
      <c r="BF327" s="547"/>
      <c r="BG327" s="547"/>
      <c r="BH327" s="547"/>
      <c r="BI327" s="547"/>
      <c r="BJ327" s="547"/>
      <c r="BK327" s="547"/>
      <c r="BL327" s="547"/>
      <c r="BM327" s="547"/>
      <c r="BN327" s="547"/>
      <c r="BO327" s="547"/>
      <c r="BP327" s="547"/>
      <c r="BQ327" s="547"/>
      <c r="BR327" s="547"/>
      <c r="BS327" s="547"/>
      <c r="BT327" s="547"/>
      <c r="BU327" s="547"/>
      <c r="BV327" s="547"/>
      <c r="BW327" s="547"/>
      <c r="BX327" s="547"/>
      <c r="BY327" s="547"/>
      <c r="BZ327" s="547"/>
      <c r="CA327" s="547"/>
      <c r="CB327" s="547"/>
      <c r="CC327" s="547"/>
    </row>
    <row r="328" spans="1:81">
      <c r="A328" s="547"/>
      <c r="B328" s="547"/>
      <c r="C328" s="547"/>
      <c r="D328" s="547"/>
      <c r="E328" s="547"/>
      <c r="F328" s="547"/>
      <c r="G328" s="547"/>
      <c r="H328" s="547"/>
      <c r="I328" s="547"/>
      <c r="J328" s="547"/>
      <c r="K328" s="547"/>
      <c r="L328" s="547"/>
      <c r="M328" s="547"/>
      <c r="N328" s="547"/>
      <c r="O328" s="547"/>
      <c r="P328" s="547"/>
      <c r="Q328" s="547"/>
      <c r="R328" s="547"/>
      <c r="S328" s="547"/>
      <c r="T328" s="547"/>
      <c r="U328" s="547"/>
      <c r="V328" s="547"/>
      <c r="W328" s="547"/>
      <c r="X328" s="547"/>
      <c r="Y328" s="547"/>
      <c r="Z328" s="547"/>
      <c r="AA328" s="547"/>
      <c r="AB328" s="547"/>
      <c r="AC328" s="547"/>
      <c r="AD328" s="547"/>
      <c r="AE328" s="547"/>
      <c r="AF328" s="547"/>
      <c r="AG328" s="547"/>
      <c r="AH328" s="547"/>
      <c r="AI328" s="547"/>
      <c r="AJ328" s="547"/>
      <c r="AK328" s="547"/>
      <c r="AL328" s="547"/>
      <c r="AM328" s="547"/>
      <c r="AN328" s="547"/>
      <c r="AO328" s="547"/>
      <c r="AP328" s="547"/>
      <c r="AQ328" s="547"/>
      <c r="AR328" s="547"/>
      <c r="AS328" s="547"/>
      <c r="AT328" s="547"/>
      <c r="AU328" s="547"/>
      <c r="AV328" s="547"/>
      <c r="AW328" s="547"/>
      <c r="AX328" s="547"/>
      <c r="AY328" s="547"/>
      <c r="AZ328" s="547"/>
      <c r="BA328" s="547"/>
      <c r="BB328" s="547"/>
      <c r="BC328" s="547"/>
      <c r="BD328" s="547"/>
      <c r="BE328" s="547"/>
      <c r="BF328" s="547"/>
      <c r="BG328" s="547"/>
      <c r="BH328" s="547"/>
      <c r="BI328" s="547"/>
      <c r="BJ328" s="547"/>
      <c r="BK328" s="547"/>
      <c r="BL328" s="547"/>
      <c r="BM328" s="547"/>
      <c r="BN328" s="547"/>
      <c r="BO328" s="547"/>
      <c r="BP328" s="547"/>
      <c r="BQ328" s="547"/>
      <c r="BR328" s="547"/>
      <c r="BS328" s="547"/>
      <c r="BT328" s="547"/>
      <c r="BU328" s="547"/>
      <c r="BV328" s="547"/>
      <c r="BW328" s="547"/>
      <c r="BX328" s="547"/>
      <c r="BY328" s="547"/>
      <c r="BZ328" s="547"/>
      <c r="CA328" s="547"/>
      <c r="CB328" s="547"/>
      <c r="CC328" s="547"/>
    </row>
    <row r="329" spans="1:81">
      <c r="A329" s="547"/>
      <c r="B329" s="547"/>
      <c r="C329" s="547"/>
      <c r="D329" s="547"/>
      <c r="E329" s="547"/>
      <c r="F329" s="547"/>
      <c r="G329" s="547"/>
      <c r="H329" s="547"/>
      <c r="I329" s="547"/>
      <c r="J329" s="547"/>
      <c r="K329" s="547"/>
      <c r="L329" s="547"/>
      <c r="M329" s="547"/>
      <c r="N329" s="547"/>
      <c r="O329" s="547"/>
      <c r="P329" s="547"/>
      <c r="Q329" s="547"/>
      <c r="R329" s="547"/>
      <c r="S329" s="547"/>
      <c r="T329" s="547"/>
      <c r="U329" s="547"/>
      <c r="V329" s="547"/>
      <c r="W329" s="547"/>
      <c r="X329" s="547"/>
      <c r="Y329" s="547"/>
      <c r="Z329" s="547"/>
      <c r="AA329" s="547"/>
      <c r="AB329" s="547"/>
      <c r="AC329" s="547"/>
      <c r="AD329" s="547"/>
      <c r="AE329" s="547"/>
      <c r="AF329" s="547"/>
      <c r="AG329" s="547"/>
      <c r="AH329" s="547"/>
      <c r="AI329" s="547"/>
      <c r="AJ329" s="547"/>
      <c r="AK329" s="547"/>
      <c r="AL329" s="547"/>
      <c r="AM329" s="547"/>
      <c r="AN329" s="547"/>
      <c r="AO329" s="547"/>
      <c r="AP329" s="547"/>
      <c r="AQ329" s="547"/>
      <c r="AR329" s="547"/>
      <c r="AS329" s="547"/>
      <c r="AT329" s="547"/>
      <c r="AU329" s="547"/>
      <c r="AV329" s="547"/>
      <c r="AW329" s="547"/>
      <c r="AX329" s="547"/>
      <c r="AY329" s="547"/>
      <c r="AZ329" s="547"/>
      <c r="BA329" s="547"/>
      <c r="BB329" s="547"/>
      <c r="BC329" s="547"/>
      <c r="BD329" s="547"/>
      <c r="BE329" s="547"/>
      <c r="BF329" s="547"/>
      <c r="BG329" s="547"/>
      <c r="BH329" s="547"/>
      <c r="BI329" s="547"/>
      <c r="BJ329" s="547"/>
      <c r="BK329" s="547"/>
      <c r="BL329" s="547"/>
      <c r="BM329" s="547"/>
      <c r="BN329" s="547"/>
      <c r="BO329" s="547"/>
      <c r="BP329" s="547"/>
      <c r="BQ329" s="547"/>
      <c r="BR329" s="547"/>
      <c r="BS329" s="547"/>
      <c r="BT329" s="547"/>
      <c r="BU329" s="547"/>
      <c r="BV329" s="547"/>
      <c r="BW329" s="547"/>
      <c r="BX329" s="547"/>
      <c r="BY329" s="547"/>
      <c r="BZ329" s="547"/>
      <c r="CA329" s="547"/>
      <c r="CB329" s="547"/>
      <c r="CC329" s="547"/>
    </row>
    <row r="330" spans="1:81">
      <c r="A330" s="547"/>
      <c r="B330" s="547"/>
      <c r="C330" s="547"/>
      <c r="D330" s="547"/>
      <c r="E330" s="547"/>
      <c r="F330" s="547"/>
      <c r="G330" s="547"/>
      <c r="H330" s="547"/>
      <c r="I330" s="547"/>
      <c r="J330" s="547"/>
      <c r="K330" s="547"/>
      <c r="L330" s="547"/>
      <c r="M330" s="547"/>
      <c r="N330" s="547"/>
      <c r="O330" s="547"/>
      <c r="P330" s="547"/>
      <c r="Q330" s="547"/>
      <c r="R330" s="547"/>
      <c r="S330" s="547"/>
      <c r="T330" s="547"/>
      <c r="U330" s="547"/>
      <c r="V330" s="547"/>
      <c r="W330" s="547"/>
      <c r="X330" s="547"/>
      <c r="Y330" s="547"/>
      <c r="Z330" s="547"/>
      <c r="AA330" s="547"/>
      <c r="AB330" s="547"/>
      <c r="AC330" s="547"/>
      <c r="AD330" s="547"/>
      <c r="AE330" s="547"/>
      <c r="AF330" s="547"/>
      <c r="AG330" s="547"/>
      <c r="AH330" s="547"/>
      <c r="AI330" s="547"/>
      <c r="AJ330" s="547"/>
      <c r="AK330" s="547"/>
      <c r="AL330" s="547"/>
      <c r="AM330" s="547"/>
      <c r="AN330" s="547"/>
      <c r="AO330" s="547"/>
      <c r="AP330" s="547"/>
      <c r="AQ330" s="547"/>
      <c r="AR330" s="547"/>
      <c r="AS330" s="547"/>
      <c r="AT330" s="547"/>
      <c r="AU330" s="547"/>
      <c r="AV330" s="547"/>
      <c r="AW330" s="547"/>
      <c r="AX330" s="547"/>
      <c r="AY330" s="547"/>
      <c r="AZ330" s="547"/>
      <c r="BA330" s="547"/>
      <c r="BB330" s="547"/>
      <c r="BC330" s="547"/>
      <c r="BD330" s="547"/>
      <c r="BE330" s="547"/>
      <c r="BF330" s="547"/>
      <c r="BG330" s="547"/>
      <c r="BH330" s="547"/>
      <c r="BI330" s="547"/>
      <c r="BJ330" s="547"/>
      <c r="BK330" s="547"/>
      <c r="BL330" s="547"/>
      <c r="BM330" s="547"/>
      <c r="BN330" s="547"/>
      <c r="BO330" s="547"/>
      <c r="BP330" s="547"/>
      <c r="BQ330" s="547"/>
      <c r="BR330" s="547"/>
      <c r="BS330" s="547"/>
      <c r="BT330" s="547"/>
      <c r="BU330" s="547"/>
      <c r="BV330" s="547"/>
      <c r="BW330" s="547"/>
      <c r="BX330" s="547"/>
      <c r="BY330" s="547"/>
      <c r="BZ330" s="547"/>
      <c r="CA330" s="547"/>
      <c r="CB330" s="547"/>
      <c r="CC330" s="547"/>
    </row>
    <row r="331" spans="1:81">
      <c r="A331" s="547"/>
      <c r="B331" s="547"/>
      <c r="C331" s="547"/>
      <c r="D331" s="547"/>
      <c r="E331" s="547"/>
      <c r="F331" s="547"/>
      <c r="G331" s="547"/>
      <c r="H331" s="547"/>
      <c r="I331" s="547"/>
      <c r="J331" s="547"/>
      <c r="K331" s="547"/>
      <c r="L331" s="547"/>
      <c r="M331" s="547"/>
      <c r="N331" s="547"/>
      <c r="O331" s="547"/>
      <c r="P331" s="547"/>
      <c r="Q331" s="547"/>
      <c r="R331" s="547"/>
      <c r="S331" s="547"/>
      <c r="T331" s="547"/>
      <c r="U331" s="547"/>
      <c r="V331" s="547"/>
      <c r="W331" s="547"/>
      <c r="X331" s="547"/>
      <c r="Y331" s="547"/>
      <c r="Z331" s="547"/>
      <c r="AA331" s="547"/>
      <c r="AB331" s="547"/>
      <c r="AC331" s="547"/>
      <c r="AD331" s="547"/>
      <c r="AE331" s="547"/>
      <c r="AF331" s="547"/>
      <c r="AG331" s="547"/>
      <c r="AH331" s="547"/>
      <c r="AI331" s="547"/>
      <c r="AJ331" s="547"/>
      <c r="AK331" s="547"/>
      <c r="AL331" s="547"/>
      <c r="AM331" s="547"/>
      <c r="AN331" s="547"/>
      <c r="AO331" s="547"/>
      <c r="AP331" s="547"/>
      <c r="AQ331" s="547"/>
      <c r="AR331" s="547"/>
      <c r="AS331" s="547"/>
      <c r="AT331" s="547"/>
      <c r="AU331" s="547"/>
      <c r="AV331" s="547"/>
      <c r="AW331" s="547"/>
      <c r="AX331" s="547"/>
      <c r="AY331" s="547"/>
      <c r="AZ331" s="547"/>
      <c r="BA331" s="547"/>
      <c r="BB331" s="547"/>
      <c r="BC331" s="547"/>
      <c r="BD331" s="547"/>
      <c r="BE331" s="547"/>
      <c r="BF331" s="547"/>
      <c r="BG331" s="547"/>
      <c r="BH331" s="547"/>
      <c r="BI331" s="547"/>
      <c r="BJ331" s="547"/>
      <c r="BK331" s="547"/>
      <c r="BL331" s="547"/>
      <c r="BM331" s="547"/>
      <c r="BN331" s="547"/>
      <c r="BO331" s="547"/>
      <c r="BP331" s="547"/>
      <c r="BQ331" s="547"/>
      <c r="BR331" s="547"/>
      <c r="BS331" s="547"/>
      <c r="BT331" s="547"/>
      <c r="BU331" s="547"/>
      <c r="BV331" s="547"/>
      <c r="BW331" s="547"/>
      <c r="BX331" s="547"/>
      <c r="BY331" s="547"/>
      <c r="BZ331" s="547"/>
      <c r="CA331" s="547"/>
      <c r="CB331" s="547"/>
      <c r="CC331" s="547"/>
    </row>
    <row r="332" spans="1:81">
      <c r="A332" s="547"/>
      <c r="B332" s="547"/>
      <c r="C332" s="547"/>
      <c r="D332" s="547"/>
      <c r="E332" s="547"/>
      <c r="F332" s="547"/>
      <c r="G332" s="547"/>
      <c r="H332" s="547"/>
      <c r="I332" s="547"/>
      <c r="J332" s="547"/>
      <c r="K332" s="547"/>
      <c r="L332" s="547"/>
      <c r="M332" s="547"/>
      <c r="N332" s="547"/>
      <c r="O332" s="547"/>
      <c r="P332" s="547"/>
      <c r="Q332" s="547"/>
      <c r="R332" s="547"/>
      <c r="S332" s="547"/>
      <c r="T332" s="547"/>
      <c r="U332" s="547"/>
      <c r="V332" s="547"/>
      <c r="W332" s="547"/>
      <c r="X332" s="547"/>
      <c r="Y332" s="547"/>
      <c r="Z332" s="547"/>
      <c r="AA332" s="547"/>
      <c r="AB332" s="547"/>
      <c r="AC332" s="547"/>
      <c r="AD332" s="547"/>
      <c r="AE332" s="547"/>
      <c r="AF332" s="547"/>
      <c r="AG332" s="547"/>
      <c r="AH332" s="547"/>
      <c r="AI332" s="547"/>
      <c r="AJ332" s="547"/>
      <c r="AK332" s="547"/>
      <c r="AL332" s="547"/>
      <c r="AM332" s="547"/>
      <c r="AN332" s="547"/>
      <c r="AO332" s="547"/>
      <c r="AP332" s="547"/>
      <c r="AQ332" s="547"/>
      <c r="AR332" s="547"/>
      <c r="AS332" s="547"/>
      <c r="AT332" s="547"/>
      <c r="AU332" s="547"/>
      <c r="AV332" s="547"/>
      <c r="AW332" s="547"/>
      <c r="AX332" s="547"/>
      <c r="AY332" s="547"/>
      <c r="AZ332" s="547"/>
      <c r="BA332" s="547"/>
      <c r="BB332" s="547"/>
      <c r="BC332" s="547"/>
      <c r="BD332" s="547"/>
      <c r="BE332" s="547"/>
      <c r="BF332" s="547"/>
      <c r="BG332" s="547"/>
      <c r="BH332" s="547"/>
      <c r="BI332" s="547"/>
      <c r="BJ332" s="547"/>
      <c r="BK332" s="547"/>
      <c r="BL332" s="547"/>
      <c r="BM332" s="547"/>
      <c r="BN332" s="547"/>
      <c r="BO332" s="547"/>
      <c r="BP332" s="547"/>
      <c r="BQ332" s="547"/>
      <c r="BR332" s="547"/>
      <c r="BS332" s="547"/>
      <c r="BT332" s="547"/>
      <c r="BU332" s="547"/>
      <c r="BV332" s="547"/>
      <c r="BW332" s="547"/>
      <c r="BX332" s="547"/>
      <c r="BY332" s="547"/>
      <c r="BZ332" s="547"/>
      <c r="CA332" s="547"/>
      <c r="CB332" s="547"/>
      <c r="CC332" s="547"/>
    </row>
    <row r="333" spans="1:81">
      <c r="A333" s="547"/>
      <c r="B333" s="547"/>
      <c r="C333" s="547"/>
      <c r="D333" s="547"/>
      <c r="E333" s="547"/>
      <c r="F333" s="547"/>
      <c r="G333" s="547"/>
      <c r="H333" s="547"/>
      <c r="I333" s="547"/>
      <c r="J333" s="547"/>
      <c r="K333" s="547"/>
      <c r="L333" s="547"/>
      <c r="M333" s="547"/>
      <c r="N333" s="547"/>
      <c r="O333" s="547"/>
      <c r="P333" s="547"/>
      <c r="Q333" s="547"/>
      <c r="R333" s="547"/>
      <c r="S333" s="547"/>
      <c r="T333" s="547"/>
      <c r="U333" s="547"/>
      <c r="V333" s="547"/>
      <c r="W333" s="547"/>
      <c r="X333" s="547"/>
      <c r="Y333" s="547"/>
      <c r="Z333" s="547"/>
      <c r="AA333" s="547"/>
      <c r="AB333" s="547"/>
      <c r="AC333" s="547"/>
      <c r="AD333" s="547"/>
      <c r="AE333" s="547"/>
      <c r="AF333" s="547"/>
      <c r="AG333" s="547"/>
      <c r="AH333" s="547"/>
      <c r="AI333" s="547"/>
      <c r="AJ333" s="547"/>
      <c r="AK333" s="547"/>
      <c r="AL333" s="547"/>
      <c r="AM333" s="547"/>
      <c r="AN333" s="547"/>
      <c r="AO333" s="547"/>
      <c r="AP333" s="547"/>
      <c r="AQ333" s="547"/>
      <c r="AR333" s="547"/>
      <c r="AS333" s="547"/>
      <c r="AT333" s="547"/>
      <c r="AU333" s="547"/>
      <c r="AV333" s="547"/>
      <c r="AW333" s="547"/>
      <c r="AX333" s="547"/>
      <c r="AY333" s="547"/>
      <c r="AZ333" s="547"/>
      <c r="BA333" s="547"/>
      <c r="BB333" s="547"/>
      <c r="BC333" s="547"/>
      <c r="BD333" s="547"/>
      <c r="BE333" s="547"/>
      <c r="BF333" s="547"/>
      <c r="BG333" s="547"/>
      <c r="BH333" s="547"/>
      <c r="BI333" s="547"/>
      <c r="BJ333" s="547"/>
      <c r="BK333" s="547"/>
      <c r="BL333" s="547"/>
      <c r="BM333" s="547"/>
      <c r="BN333" s="547"/>
      <c r="BO333" s="547"/>
      <c r="BP333" s="547"/>
      <c r="BQ333" s="547"/>
      <c r="BR333" s="547"/>
      <c r="BS333" s="547"/>
      <c r="BT333" s="547"/>
      <c r="BU333" s="547"/>
      <c r="BV333" s="547"/>
      <c r="BW333" s="547"/>
      <c r="BX333" s="547"/>
      <c r="BY333" s="547"/>
      <c r="BZ333" s="547"/>
      <c r="CA333" s="547"/>
      <c r="CB333" s="547"/>
      <c r="CC333" s="547"/>
    </row>
    <row r="334" spans="1:81">
      <c r="A334" s="547"/>
      <c r="B334" s="547"/>
      <c r="C334" s="547"/>
      <c r="D334" s="547"/>
      <c r="E334" s="547"/>
      <c r="F334" s="547"/>
      <c r="G334" s="547"/>
      <c r="H334" s="547"/>
      <c r="I334" s="547"/>
      <c r="J334" s="547"/>
      <c r="K334" s="547"/>
      <c r="L334" s="547"/>
      <c r="M334" s="547"/>
      <c r="N334" s="547"/>
      <c r="O334" s="547"/>
      <c r="P334" s="547"/>
      <c r="Q334" s="547"/>
      <c r="R334" s="547"/>
      <c r="S334" s="547"/>
      <c r="T334" s="547"/>
      <c r="U334" s="547"/>
      <c r="V334" s="547"/>
      <c r="W334" s="547"/>
      <c r="X334" s="547"/>
      <c r="Y334" s="547"/>
      <c r="Z334" s="547"/>
      <c r="AA334" s="547"/>
      <c r="AB334" s="547"/>
      <c r="AC334" s="547"/>
      <c r="AD334" s="547"/>
      <c r="AE334" s="547"/>
      <c r="AF334" s="547"/>
      <c r="AG334" s="547"/>
      <c r="AH334" s="547"/>
      <c r="AI334" s="547"/>
      <c r="AJ334" s="547"/>
      <c r="AK334" s="547"/>
      <c r="AL334" s="547"/>
      <c r="AM334" s="547"/>
      <c r="AN334" s="547"/>
      <c r="AO334" s="547"/>
      <c r="AP334" s="547"/>
      <c r="AQ334" s="547"/>
      <c r="AR334" s="547"/>
      <c r="AS334" s="547"/>
      <c r="AT334" s="547"/>
      <c r="AU334" s="547"/>
      <c r="AV334" s="547"/>
      <c r="AW334" s="547"/>
      <c r="AX334" s="547"/>
      <c r="AY334" s="547"/>
      <c r="AZ334" s="547"/>
      <c r="BA334" s="547"/>
      <c r="BB334" s="547"/>
      <c r="BC334" s="547"/>
      <c r="BD334" s="547"/>
      <c r="BE334" s="547"/>
      <c r="BF334" s="547"/>
      <c r="BG334" s="547"/>
      <c r="BH334" s="547"/>
      <c r="BI334" s="547"/>
      <c r="BJ334" s="547"/>
      <c r="BK334" s="547"/>
      <c r="BL334" s="547"/>
      <c r="BM334" s="547"/>
      <c r="BN334" s="547"/>
      <c r="BO334" s="547"/>
      <c r="BP334" s="547"/>
      <c r="BQ334" s="547"/>
      <c r="BR334" s="547"/>
      <c r="BS334" s="547"/>
      <c r="BT334" s="547"/>
      <c r="BU334" s="547"/>
      <c r="BV334" s="547"/>
      <c r="BW334" s="547"/>
      <c r="BX334" s="547"/>
      <c r="BY334" s="547"/>
      <c r="BZ334" s="547"/>
      <c r="CA334" s="547"/>
      <c r="CB334" s="547"/>
      <c r="CC334" s="547"/>
    </row>
    <row r="335" spans="1:81">
      <c r="A335" s="547"/>
      <c r="B335" s="547"/>
      <c r="C335" s="547"/>
      <c r="D335" s="547"/>
      <c r="E335" s="547"/>
      <c r="F335" s="547"/>
      <c r="G335" s="547"/>
      <c r="H335" s="547"/>
      <c r="I335" s="547"/>
      <c r="J335" s="547"/>
      <c r="K335" s="547"/>
      <c r="L335" s="547"/>
      <c r="M335" s="547"/>
      <c r="N335" s="547"/>
      <c r="O335" s="547"/>
      <c r="P335" s="547"/>
      <c r="Q335" s="547"/>
      <c r="R335" s="547"/>
      <c r="S335" s="547"/>
      <c r="T335" s="547"/>
      <c r="U335" s="547"/>
      <c r="V335" s="547"/>
      <c r="W335" s="547"/>
      <c r="X335" s="547"/>
      <c r="Y335" s="547"/>
      <c r="Z335" s="547"/>
      <c r="AA335" s="547"/>
      <c r="AB335" s="547"/>
      <c r="AC335" s="547"/>
      <c r="AD335" s="547"/>
      <c r="AE335" s="547"/>
      <c r="AF335" s="547"/>
      <c r="AG335" s="547"/>
      <c r="AH335" s="547"/>
      <c r="AI335" s="547"/>
      <c r="AJ335" s="547"/>
      <c r="AK335" s="547"/>
      <c r="AL335" s="547"/>
      <c r="AM335" s="547"/>
      <c r="AN335" s="547"/>
      <c r="AO335" s="547"/>
      <c r="AP335" s="547"/>
      <c r="AQ335" s="547"/>
      <c r="AR335" s="547"/>
      <c r="AS335" s="547"/>
      <c r="AT335" s="547"/>
      <c r="AU335" s="547"/>
      <c r="AV335" s="547"/>
      <c r="AW335" s="547"/>
      <c r="AX335" s="547"/>
      <c r="AY335" s="547"/>
      <c r="AZ335" s="547"/>
      <c r="BA335" s="547"/>
      <c r="BB335" s="547"/>
      <c r="BC335" s="547"/>
      <c r="BD335" s="547"/>
      <c r="BE335" s="547"/>
      <c r="BF335" s="547"/>
      <c r="BG335" s="547"/>
      <c r="BH335" s="547"/>
      <c r="BI335" s="547"/>
      <c r="BJ335" s="547"/>
      <c r="BK335" s="547"/>
      <c r="BL335" s="547"/>
      <c r="BM335" s="547"/>
      <c r="BN335" s="547"/>
      <c r="BO335" s="547"/>
      <c r="BP335" s="547"/>
      <c r="BQ335" s="547"/>
      <c r="BR335" s="547"/>
      <c r="BS335" s="547"/>
      <c r="BT335" s="547"/>
      <c r="BU335" s="547"/>
      <c r="BV335" s="547"/>
      <c r="BW335" s="547"/>
      <c r="BX335" s="547"/>
      <c r="BY335" s="547"/>
      <c r="BZ335" s="547"/>
      <c r="CA335" s="547"/>
      <c r="CB335" s="547"/>
      <c r="CC335" s="547"/>
    </row>
    <row r="336" spans="1:81">
      <c r="A336" s="547"/>
      <c r="B336" s="547"/>
      <c r="C336" s="547"/>
      <c r="D336" s="547"/>
      <c r="E336" s="547"/>
      <c r="F336" s="547"/>
      <c r="G336" s="547"/>
      <c r="H336" s="547"/>
      <c r="I336" s="547"/>
      <c r="J336" s="547"/>
      <c r="K336" s="547"/>
      <c r="L336" s="547"/>
      <c r="M336" s="547"/>
      <c r="N336" s="547"/>
      <c r="O336" s="547"/>
      <c r="P336" s="547"/>
      <c r="Q336" s="547"/>
      <c r="R336" s="547"/>
      <c r="S336" s="547"/>
      <c r="T336" s="547"/>
      <c r="U336" s="547"/>
      <c r="V336" s="547"/>
      <c r="W336" s="547"/>
      <c r="X336" s="547"/>
      <c r="Y336" s="547"/>
      <c r="Z336" s="547"/>
      <c r="AA336" s="547"/>
      <c r="AB336" s="547"/>
      <c r="AC336" s="547"/>
      <c r="AD336" s="547"/>
      <c r="AE336" s="547"/>
      <c r="AF336" s="547"/>
      <c r="AG336" s="547"/>
      <c r="AH336" s="547"/>
      <c r="AI336" s="547"/>
      <c r="AJ336" s="547"/>
      <c r="AK336" s="547"/>
      <c r="AL336" s="547"/>
      <c r="AM336" s="547"/>
      <c r="AN336" s="547"/>
      <c r="AO336" s="547"/>
      <c r="AP336" s="547"/>
      <c r="AQ336" s="547"/>
      <c r="AR336" s="547"/>
      <c r="AS336" s="547"/>
      <c r="AT336" s="547"/>
      <c r="AU336" s="547"/>
      <c r="AV336" s="547"/>
      <c r="AW336" s="547"/>
      <c r="AX336" s="547"/>
      <c r="AY336" s="547"/>
      <c r="AZ336" s="547"/>
      <c r="BA336" s="547"/>
      <c r="BB336" s="547"/>
      <c r="BC336" s="547"/>
      <c r="BD336" s="547"/>
      <c r="BE336" s="547"/>
      <c r="BF336" s="547"/>
      <c r="BG336" s="547"/>
      <c r="BH336" s="547"/>
      <c r="BI336" s="547"/>
      <c r="BJ336" s="547"/>
      <c r="BK336" s="547"/>
      <c r="BL336" s="547"/>
      <c r="BM336" s="547"/>
      <c r="BN336" s="547"/>
      <c r="BO336" s="547"/>
      <c r="BP336" s="547"/>
      <c r="BQ336" s="547"/>
      <c r="BR336" s="547"/>
      <c r="BS336" s="547"/>
      <c r="BT336" s="547"/>
      <c r="BU336" s="547"/>
      <c r="BV336" s="547"/>
      <c r="BW336" s="547"/>
      <c r="BX336" s="547"/>
      <c r="BY336" s="547"/>
      <c r="BZ336" s="547"/>
      <c r="CA336" s="547"/>
      <c r="CB336" s="547"/>
      <c r="CC336" s="547"/>
    </row>
    <row r="337" spans="1:81">
      <c r="A337" s="547"/>
      <c r="B337" s="547"/>
      <c r="C337" s="547"/>
      <c r="D337" s="547"/>
      <c r="E337" s="547"/>
      <c r="F337" s="547"/>
      <c r="G337" s="547"/>
      <c r="H337" s="547"/>
      <c r="I337" s="547"/>
      <c r="J337" s="547"/>
      <c r="K337" s="547"/>
      <c r="L337" s="547"/>
      <c r="M337" s="547"/>
      <c r="N337" s="547"/>
      <c r="O337" s="547"/>
      <c r="P337" s="547"/>
      <c r="Q337" s="547"/>
      <c r="R337" s="547"/>
      <c r="S337" s="547"/>
      <c r="T337" s="547"/>
      <c r="U337" s="547"/>
      <c r="V337" s="547"/>
      <c r="W337" s="547"/>
      <c r="X337" s="547"/>
      <c r="Y337" s="547"/>
      <c r="Z337" s="547"/>
      <c r="AA337" s="547"/>
      <c r="AB337" s="547"/>
      <c r="AC337" s="547"/>
      <c r="AD337" s="547"/>
      <c r="AE337" s="547"/>
      <c r="AF337" s="547"/>
      <c r="AG337" s="547"/>
      <c r="AH337" s="547"/>
      <c r="AI337" s="547"/>
      <c r="AJ337" s="547"/>
      <c r="AK337" s="547"/>
      <c r="AL337" s="547"/>
      <c r="AM337" s="547"/>
      <c r="AN337" s="547"/>
      <c r="AO337" s="547"/>
      <c r="AP337" s="547"/>
      <c r="AQ337" s="547"/>
      <c r="AR337" s="547"/>
      <c r="AS337" s="547"/>
      <c r="AT337" s="547"/>
      <c r="AU337" s="547"/>
      <c r="AV337" s="547"/>
      <c r="AW337" s="547"/>
      <c r="AX337" s="547"/>
      <c r="AY337" s="547"/>
      <c r="AZ337" s="547"/>
      <c r="BA337" s="547"/>
      <c r="BB337" s="547"/>
      <c r="BC337" s="547"/>
      <c r="BD337" s="547"/>
      <c r="BE337" s="547"/>
      <c r="BF337" s="547"/>
      <c r="BG337" s="547"/>
      <c r="BH337" s="547"/>
      <c r="BI337" s="547"/>
      <c r="BJ337" s="547"/>
      <c r="BK337" s="547"/>
      <c r="BL337" s="547"/>
      <c r="BM337" s="547"/>
      <c r="BN337" s="547"/>
      <c r="BO337" s="547"/>
      <c r="BP337" s="547"/>
      <c r="BQ337" s="547"/>
      <c r="BR337" s="547"/>
      <c r="BS337" s="547"/>
      <c r="BT337" s="547"/>
      <c r="BU337" s="547"/>
      <c r="BV337" s="547"/>
      <c r="BW337" s="547"/>
      <c r="BX337" s="547"/>
      <c r="BY337" s="547"/>
      <c r="BZ337" s="547"/>
      <c r="CA337" s="547"/>
      <c r="CB337" s="547"/>
      <c r="CC337" s="547"/>
    </row>
    <row r="338" spans="1:81">
      <c r="A338" s="547"/>
      <c r="B338" s="547"/>
      <c r="C338" s="547"/>
      <c r="D338" s="547"/>
      <c r="E338" s="547"/>
      <c r="F338" s="547"/>
      <c r="G338" s="547"/>
      <c r="H338" s="547"/>
      <c r="I338" s="547"/>
      <c r="J338" s="547"/>
      <c r="K338" s="547"/>
      <c r="L338" s="547"/>
      <c r="M338" s="547"/>
      <c r="N338" s="547"/>
      <c r="O338" s="547"/>
      <c r="P338" s="547"/>
      <c r="Q338" s="547"/>
      <c r="R338" s="547"/>
      <c r="S338" s="547"/>
      <c r="T338" s="547"/>
      <c r="U338" s="547"/>
      <c r="V338" s="547"/>
      <c r="W338" s="547"/>
      <c r="X338" s="547"/>
      <c r="Y338" s="547"/>
      <c r="Z338" s="547"/>
      <c r="AA338" s="547"/>
      <c r="AB338" s="547"/>
      <c r="AC338" s="547"/>
      <c r="AD338" s="547"/>
      <c r="AE338" s="547"/>
      <c r="AF338" s="547"/>
      <c r="AG338" s="547"/>
      <c r="AH338" s="547"/>
      <c r="AI338" s="547"/>
      <c r="AJ338" s="547"/>
      <c r="AK338" s="547"/>
      <c r="AL338" s="547"/>
      <c r="AM338" s="547"/>
      <c r="AN338" s="547"/>
      <c r="AO338" s="547"/>
      <c r="AP338" s="547"/>
      <c r="AQ338" s="547"/>
      <c r="AR338" s="547"/>
      <c r="AS338" s="547"/>
      <c r="AT338" s="547"/>
      <c r="AU338" s="547"/>
      <c r="AV338" s="547"/>
      <c r="AW338" s="547"/>
      <c r="AX338" s="547"/>
      <c r="AY338" s="547"/>
      <c r="AZ338" s="547"/>
      <c r="BA338" s="547"/>
      <c r="BB338" s="547"/>
      <c r="BC338" s="547"/>
      <c r="BD338" s="547"/>
      <c r="BE338" s="547"/>
      <c r="BF338" s="547"/>
      <c r="BG338" s="547"/>
      <c r="BH338" s="547"/>
      <c r="BI338" s="547"/>
      <c r="BJ338" s="547"/>
      <c r="BK338" s="547"/>
      <c r="BL338" s="547"/>
      <c r="BM338" s="547"/>
      <c r="BN338" s="547"/>
      <c r="BO338" s="547"/>
      <c r="BP338" s="547"/>
      <c r="BQ338" s="547"/>
      <c r="BR338" s="547"/>
      <c r="BS338" s="547"/>
      <c r="BT338" s="547"/>
      <c r="BU338" s="547"/>
      <c r="BV338" s="547"/>
      <c r="BW338" s="547"/>
      <c r="BX338" s="547"/>
      <c r="BY338" s="547"/>
      <c r="BZ338" s="547"/>
      <c r="CA338" s="547"/>
      <c r="CB338" s="547"/>
      <c r="CC338" s="547"/>
    </row>
    <row r="339" spans="1:81">
      <c r="A339" s="547"/>
      <c r="B339" s="547"/>
      <c r="C339" s="547"/>
      <c r="D339" s="547"/>
      <c r="E339" s="547"/>
      <c r="F339" s="547"/>
      <c r="G339" s="547"/>
      <c r="H339" s="547"/>
      <c r="I339" s="547"/>
      <c r="J339" s="547"/>
      <c r="K339" s="547"/>
      <c r="L339" s="547"/>
      <c r="M339" s="547"/>
      <c r="N339" s="547"/>
      <c r="O339" s="547"/>
      <c r="P339" s="547"/>
      <c r="Q339" s="547"/>
      <c r="R339" s="547"/>
      <c r="S339" s="547"/>
      <c r="T339" s="547"/>
      <c r="U339" s="547"/>
      <c r="V339" s="547"/>
      <c r="W339" s="547"/>
      <c r="X339" s="547"/>
      <c r="Y339" s="547"/>
      <c r="Z339" s="547"/>
      <c r="AA339" s="547"/>
      <c r="AB339" s="547"/>
      <c r="AC339" s="547"/>
      <c r="AD339" s="547"/>
      <c r="AE339" s="547"/>
      <c r="AF339" s="547"/>
      <c r="AG339" s="547"/>
      <c r="AH339" s="547"/>
      <c r="AI339" s="547"/>
      <c r="AJ339" s="547"/>
      <c r="AK339" s="547"/>
      <c r="AL339" s="547"/>
      <c r="AM339" s="547"/>
      <c r="AN339" s="547"/>
      <c r="AO339" s="547"/>
      <c r="AP339" s="547"/>
      <c r="AQ339" s="547"/>
      <c r="AR339" s="547"/>
      <c r="AS339" s="547"/>
      <c r="AT339" s="547"/>
      <c r="AU339" s="547"/>
      <c r="AV339" s="547"/>
      <c r="AW339" s="547"/>
      <c r="AX339" s="547"/>
      <c r="AY339" s="547"/>
      <c r="AZ339" s="547"/>
      <c r="BA339" s="547"/>
      <c r="BB339" s="547"/>
      <c r="BC339" s="547"/>
      <c r="BD339" s="547"/>
      <c r="BE339" s="547"/>
      <c r="BF339" s="547"/>
      <c r="BG339" s="547"/>
      <c r="BH339" s="547"/>
      <c r="BI339" s="547"/>
      <c r="BJ339" s="547"/>
      <c r="BK339" s="547"/>
      <c r="BL339" s="547"/>
      <c r="BM339" s="547"/>
      <c r="BN339" s="547"/>
      <c r="BO339" s="547"/>
      <c r="BP339" s="547"/>
      <c r="BQ339" s="547"/>
      <c r="BR339" s="547"/>
      <c r="BS339" s="547"/>
      <c r="BT339" s="547"/>
      <c r="BU339" s="547"/>
      <c r="BV339" s="547"/>
      <c r="BW339" s="547"/>
      <c r="BX339" s="547"/>
      <c r="BY339" s="547"/>
      <c r="BZ339" s="547"/>
      <c r="CA339" s="547"/>
      <c r="CB339" s="547"/>
      <c r="CC339" s="547"/>
    </row>
    <row r="340" spans="1:81">
      <c r="A340" s="547"/>
      <c r="B340" s="547"/>
      <c r="C340" s="547"/>
      <c r="D340" s="547"/>
      <c r="E340" s="547"/>
      <c r="F340" s="547"/>
      <c r="G340" s="547"/>
      <c r="H340" s="547"/>
      <c r="I340" s="547"/>
      <c r="J340" s="547"/>
      <c r="K340" s="547"/>
      <c r="L340" s="547"/>
      <c r="M340" s="547"/>
      <c r="N340" s="547"/>
      <c r="O340" s="547"/>
      <c r="P340" s="547"/>
      <c r="Q340" s="547"/>
      <c r="R340" s="547"/>
      <c r="S340" s="547"/>
      <c r="T340" s="547"/>
      <c r="U340" s="547"/>
      <c r="V340" s="547"/>
      <c r="W340" s="547"/>
      <c r="X340" s="547"/>
      <c r="Y340" s="547"/>
      <c r="Z340" s="547"/>
      <c r="AA340" s="547"/>
      <c r="AB340" s="547"/>
      <c r="AC340" s="547"/>
      <c r="AD340" s="547"/>
      <c r="AE340" s="547"/>
      <c r="AF340" s="547"/>
      <c r="AG340" s="547"/>
      <c r="AH340" s="547"/>
      <c r="AI340" s="547"/>
      <c r="AJ340" s="547"/>
      <c r="AK340" s="547"/>
      <c r="AL340" s="547"/>
      <c r="AM340" s="547"/>
      <c r="AN340" s="547"/>
      <c r="AO340" s="547"/>
      <c r="AP340" s="547"/>
      <c r="AQ340" s="547"/>
      <c r="AR340" s="547"/>
      <c r="AS340" s="547"/>
      <c r="AT340" s="547"/>
      <c r="AU340" s="547"/>
      <c r="AV340" s="547"/>
      <c r="AW340" s="547"/>
      <c r="AX340" s="547"/>
      <c r="AY340" s="547"/>
      <c r="AZ340" s="547"/>
      <c r="BA340" s="547"/>
      <c r="BB340" s="547"/>
      <c r="BC340" s="547"/>
      <c r="BD340" s="547"/>
      <c r="BE340" s="547"/>
      <c r="BF340" s="547"/>
      <c r="BG340" s="547"/>
      <c r="BH340" s="547"/>
      <c r="BI340" s="547"/>
      <c r="BJ340" s="547"/>
      <c r="BK340" s="547"/>
      <c r="BL340" s="547"/>
      <c r="BM340" s="547"/>
      <c r="BN340" s="547"/>
      <c r="BO340" s="547"/>
      <c r="BP340" s="547"/>
      <c r="BQ340" s="547"/>
      <c r="BR340" s="547"/>
      <c r="BS340" s="547"/>
      <c r="BT340" s="547"/>
      <c r="BU340" s="547"/>
      <c r="BV340" s="547"/>
      <c r="BW340" s="547"/>
      <c r="BX340" s="547"/>
      <c r="BY340" s="547"/>
      <c r="BZ340" s="547"/>
      <c r="CA340" s="547"/>
      <c r="CB340" s="547"/>
      <c r="CC340" s="547"/>
    </row>
    <row r="341" spans="1:81">
      <c r="A341" s="547"/>
      <c r="B341" s="547"/>
      <c r="C341" s="547"/>
      <c r="D341" s="547"/>
      <c r="E341" s="547"/>
      <c r="F341" s="547"/>
      <c r="G341" s="547"/>
      <c r="H341" s="547"/>
      <c r="I341" s="547"/>
      <c r="J341" s="547"/>
      <c r="K341" s="547"/>
      <c r="L341" s="547"/>
      <c r="M341" s="547"/>
      <c r="N341" s="547"/>
      <c r="O341" s="547"/>
      <c r="P341" s="547"/>
      <c r="Q341" s="547"/>
      <c r="R341" s="547"/>
      <c r="S341" s="547"/>
      <c r="T341" s="547"/>
      <c r="U341" s="547"/>
      <c r="V341" s="547"/>
      <c r="W341" s="547"/>
      <c r="X341" s="547"/>
      <c r="Y341" s="547"/>
      <c r="Z341" s="547"/>
      <c r="AA341" s="547"/>
      <c r="AB341" s="547"/>
      <c r="AC341" s="547"/>
      <c r="AD341" s="547"/>
      <c r="AE341" s="547"/>
      <c r="AF341" s="547"/>
      <c r="AG341" s="547"/>
      <c r="AH341" s="547"/>
      <c r="AI341" s="547"/>
      <c r="AJ341" s="547"/>
      <c r="AK341" s="547"/>
      <c r="AL341" s="547"/>
      <c r="AM341" s="547"/>
      <c r="AN341" s="547"/>
      <c r="AO341" s="547"/>
      <c r="AP341" s="547"/>
      <c r="AQ341" s="547"/>
      <c r="AR341" s="547"/>
      <c r="AS341" s="547"/>
      <c r="AT341" s="547"/>
      <c r="AU341" s="547"/>
      <c r="AV341" s="547"/>
      <c r="AW341" s="547"/>
      <c r="AX341" s="547"/>
      <c r="AY341" s="547"/>
      <c r="AZ341" s="547"/>
      <c r="BA341" s="547"/>
      <c r="BB341" s="547"/>
      <c r="BC341" s="547"/>
      <c r="BD341" s="547"/>
      <c r="BE341" s="547"/>
      <c r="BF341" s="547"/>
      <c r="BG341" s="547"/>
      <c r="BH341" s="547"/>
      <c r="BI341" s="547"/>
      <c r="BJ341" s="547"/>
      <c r="BK341" s="547"/>
      <c r="BL341" s="547"/>
      <c r="BM341" s="547"/>
      <c r="BN341" s="547"/>
      <c r="BO341" s="547"/>
      <c r="BP341" s="547"/>
      <c r="BQ341" s="547"/>
      <c r="BR341" s="547"/>
      <c r="BS341" s="547"/>
      <c r="BT341" s="547"/>
      <c r="BU341" s="547"/>
      <c r="BV341" s="547"/>
      <c r="BW341" s="547"/>
      <c r="BX341" s="547"/>
      <c r="BY341" s="547"/>
      <c r="BZ341" s="547"/>
      <c r="CA341" s="547"/>
      <c r="CB341" s="547"/>
      <c r="CC341" s="547"/>
    </row>
    <row r="342" spans="1:81">
      <c r="A342" s="547"/>
      <c r="B342" s="547"/>
      <c r="C342" s="547"/>
      <c r="D342" s="547"/>
      <c r="E342" s="547"/>
      <c r="F342" s="547"/>
      <c r="G342" s="547"/>
      <c r="H342" s="547"/>
      <c r="I342" s="547"/>
      <c r="J342" s="547"/>
      <c r="K342" s="547"/>
      <c r="L342" s="547"/>
      <c r="M342" s="547"/>
      <c r="N342" s="547"/>
      <c r="O342" s="547"/>
      <c r="P342" s="547"/>
      <c r="Q342" s="547"/>
      <c r="R342" s="547"/>
      <c r="S342" s="547"/>
      <c r="T342" s="547"/>
      <c r="U342" s="547"/>
      <c r="V342" s="547"/>
      <c r="W342" s="547"/>
      <c r="X342" s="547"/>
      <c r="Y342" s="547"/>
      <c r="Z342" s="547"/>
      <c r="AA342" s="547"/>
      <c r="AB342" s="547"/>
      <c r="AC342" s="547"/>
      <c r="AD342" s="547"/>
      <c r="AE342" s="547"/>
      <c r="AF342" s="547"/>
      <c r="AG342" s="547"/>
      <c r="AH342" s="547"/>
      <c r="AI342" s="547"/>
      <c r="AJ342" s="547"/>
      <c r="AK342" s="547"/>
      <c r="AL342" s="547"/>
      <c r="AM342" s="547"/>
      <c r="AN342" s="547"/>
      <c r="AO342" s="547"/>
      <c r="AP342" s="547"/>
      <c r="AQ342" s="547"/>
      <c r="AR342" s="547"/>
      <c r="AS342" s="547"/>
      <c r="AT342" s="547"/>
      <c r="AU342" s="547"/>
      <c r="AV342" s="547"/>
      <c r="AW342" s="547"/>
      <c r="AX342" s="547"/>
      <c r="AY342" s="547"/>
      <c r="AZ342" s="547"/>
      <c r="BA342" s="547"/>
      <c r="BB342" s="547"/>
      <c r="BC342" s="547"/>
      <c r="BD342" s="547"/>
      <c r="BE342" s="547"/>
      <c r="BF342" s="547"/>
      <c r="BG342" s="547"/>
      <c r="BH342" s="547"/>
      <c r="BI342" s="547"/>
      <c r="BJ342" s="547"/>
      <c r="BK342" s="547"/>
      <c r="BL342" s="547"/>
      <c r="BM342" s="547"/>
      <c r="BN342" s="547"/>
      <c r="BO342" s="547"/>
      <c r="BP342" s="547"/>
      <c r="BQ342" s="547"/>
      <c r="BR342" s="547"/>
      <c r="BS342" s="547"/>
      <c r="BT342" s="547"/>
      <c r="BU342" s="547"/>
      <c r="BV342" s="547"/>
      <c r="BW342" s="547"/>
      <c r="BX342" s="547"/>
      <c r="BY342" s="547"/>
      <c r="BZ342" s="547"/>
      <c r="CA342" s="547"/>
      <c r="CB342" s="547"/>
      <c r="CC342" s="547"/>
    </row>
    <row r="343" spans="1:81">
      <c r="A343" s="547"/>
      <c r="B343" s="547"/>
      <c r="C343" s="547"/>
      <c r="D343" s="547"/>
      <c r="E343" s="547"/>
      <c r="F343" s="547"/>
      <c r="G343" s="547"/>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c r="BS343" s="547"/>
      <c r="BT343" s="547"/>
      <c r="BU343" s="547"/>
      <c r="BV343" s="547"/>
      <c r="BW343" s="547"/>
      <c r="BX343" s="547"/>
      <c r="BY343" s="547"/>
      <c r="BZ343" s="547"/>
      <c r="CA343" s="547"/>
      <c r="CB343" s="547"/>
      <c r="CC343" s="547"/>
    </row>
    <row r="344" spans="1:81">
      <c r="A344" s="547"/>
      <c r="B344" s="547"/>
      <c r="C344" s="547"/>
      <c r="D344" s="547"/>
      <c r="E344" s="547"/>
      <c r="F344" s="547"/>
      <c r="G344" s="547"/>
      <c r="H344" s="547"/>
      <c r="I344" s="547"/>
      <c r="J344" s="547"/>
      <c r="K344" s="547"/>
      <c r="L344" s="547"/>
      <c r="M344" s="547"/>
      <c r="N344" s="547"/>
      <c r="O344" s="547"/>
      <c r="P344" s="547"/>
      <c r="Q344" s="547"/>
      <c r="R344" s="547"/>
      <c r="S344" s="547"/>
      <c r="T344" s="547"/>
      <c r="U344" s="547"/>
      <c r="V344" s="547"/>
      <c r="W344" s="547"/>
      <c r="X344" s="547"/>
      <c r="Y344" s="547"/>
      <c r="Z344" s="547"/>
      <c r="AA344" s="547"/>
      <c r="AB344" s="547"/>
      <c r="AC344" s="547"/>
      <c r="AD344" s="547"/>
      <c r="AE344" s="547"/>
      <c r="AF344" s="547"/>
      <c r="AG344" s="547"/>
      <c r="AH344" s="547"/>
      <c r="AI344" s="547"/>
      <c r="AJ344" s="547"/>
      <c r="AK344" s="547"/>
      <c r="AL344" s="547"/>
      <c r="AM344" s="547"/>
      <c r="AN344" s="547"/>
      <c r="AO344" s="547"/>
      <c r="AP344" s="547"/>
      <c r="AQ344" s="547"/>
      <c r="AR344" s="547"/>
      <c r="AS344" s="547"/>
      <c r="AT344" s="547"/>
      <c r="AU344" s="547"/>
      <c r="AV344" s="547"/>
      <c r="AW344" s="547"/>
      <c r="AX344" s="547"/>
      <c r="AY344" s="547"/>
      <c r="AZ344" s="547"/>
      <c r="BA344" s="547"/>
      <c r="BB344" s="547"/>
      <c r="BC344" s="547"/>
      <c r="BD344" s="547"/>
      <c r="BE344" s="547"/>
      <c r="BF344" s="547"/>
      <c r="BG344" s="547"/>
      <c r="BH344" s="547"/>
      <c r="BI344" s="547"/>
      <c r="BJ344" s="547"/>
      <c r="BK344" s="547"/>
      <c r="BL344" s="547"/>
      <c r="BM344" s="547"/>
      <c r="BN344" s="547"/>
      <c r="BO344" s="547"/>
      <c r="BP344" s="547"/>
      <c r="BQ344" s="547"/>
      <c r="BR344" s="547"/>
      <c r="BS344" s="547"/>
      <c r="BT344" s="547"/>
      <c r="BU344" s="547"/>
      <c r="BV344" s="547"/>
      <c r="BW344" s="547"/>
      <c r="BX344" s="547"/>
      <c r="BY344" s="547"/>
      <c r="BZ344" s="547"/>
      <c r="CA344" s="547"/>
      <c r="CB344" s="547"/>
      <c r="CC344" s="547"/>
    </row>
    <row r="345" spans="1:81">
      <c r="A345" s="547"/>
      <c r="B345" s="547"/>
      <c r="C345" s="547"/>
      <c r="D345" s="547"/>
      <c r="E345" s="547"/>
      <c r="F345" s="547"/>
      <c r="G345" s="547"/>
      <c r="H345" s="547"/>
      <c r="I345" s="547"/>
      <c r="J345" s="547"/>
      <c r="K345" s="547"/>
      <c r="L345" s="547"/>
      <c r="M345" s="547"/>
      <c r="N345" s="547"/>
      <c r="O345" s="547"/>
      <c r="P345" s="547"/>
      <c r="Q345" s="547"/>
      <c r="R345" s="547"/>
      <c r="S345" s="547"/>
      <c r="T345" s="547"/>
      <c r="U345" s="547"/>
      <c r="V345" s="547"/>
      <c r="W345" s="547"/>
      <c r="X345" s="547"/>
      <c r="Y345" s="547"/>
      <c r="Z345" s="547"/>
      <c r="AA345" s="547"/>
      <c r="AB345" s="547"/>
      <c r="AC345" s="547"/>
      <c r="AD345" s="547"/>
      <c r="AE345" s="547"/>
      <c r="AF345" s="547"/>
      <c r="AG345" s="547"/>
      <c r="AH345" s="547"/>
      <c r="AI345" s="547"/>
      <c r="AJ345" s="547"/>
      <c r="AK345" s="547"/>
      <c r="AL345" s="547"/>
      <c r="AM345" s="547"/>
      <c r="AN345" s="547"/>
      <c r="AO345" s="547"/>
      <c r="AP345" s="547"/>
      <c r="AQ345" s="547"/>
      <c r="AR345" s="547"/>
      <c r="AS345" s="547"/>
      <c r="AT345" s="547"/>
      <c r="AU345" s="547"/>
      <c r="AV345" s="547"/>
      <c r="AW345" s="547"/>
      <c r="AX345" s="547"/>
      <c r="AY345" s="547"/>
      <c r="AZ345" s="547"/>
      <c r="BA345" s="547"/>
      <c r="BB345" s="547"/>
      <c r="BC345" s="547"/>
      <c r="BD345" s="547"/>
      <c r="BE345" s="547"/>
      <c r="BF345" s="547"/>
      <c r="BG345" s="547"/>
      <c r="BH345" s="547"/>
      <c r="BI345" s="547"/>
      <c r="BJ345" s="547"/>
      <c r="BK345" s="547"/>
      <c r="BL345" s="547"/>
      <c r="BM345" s="547"/>
      <c r="BN345" s="547"/>
      <c r="BO345" s="547"/>
      <c r="BP345" s="547"/>
      <c r="BQ345" s="547"/>
      <c r="BR345" s="547"/>
      <c r="BS345" s="547"/>
      <c r="BT345" s="547"/>
      <c r="BU345" s="547"/>
      <c r="BV345" s="547"/>
      <c r="BW345" s="547"/>
      <c r="BX345" s="547"/>
      <c r="BY345" s="547"/>
      <c r="BZ345" s="547"/>
      <c r="CA345" s="547"/>
      <c r="CB345" s="547"/>
      <c r="CC345" s="547"/>
    </row>
    <row r="346" spans="1:81">
      <c r="A346" s="547"/>
      <c r="B346" s="547"/>
      <c r="C346" s="547"/>
      <c r="D346" s="547"/>
      <c r="E346" s="547"/>
      <c r="F346" s="547"/>
      <c r="G346" s="547"/>
      <c r="H346" s="547"/>
      <c r="I346" s="547"/>
      <c r="J346" s="547"/>
      <c r="K346" s="547"/>
      <c r="L346" s="547"/>
      <c r="M346" s="547"/>
      <c r="N346" s="547"/>
      <c r="O346" s="547"/>
      <c r="P346" s="547"/>
      <c r="Q346" s="547"/>
      <c r="R346" s="547"/>
      <c r="S346" s="547"/>
      <c r="T346" s="547"/>
      <c r="U346" s="547"/>
      <c r="V346" s="547"/>
      <c r="W346" s="547"/>
      <c r="X346" s="547"/>
      <c r="Y346" s="547"/>
      <c r="Z346" s="547"/>
      <c r="AA346" s="547"/>
      <c r="AB346" s="547"/>
      <c r="AC346" s="547"/>
      <c r="AD346" s="547"/>
      <c r="AE346" s="547"/>
      <c r="AF346" s="547"/>
      <c r="AG346" s="547"/>
      <c r="AH346" s="547"/>
      <c r="AI346" s="547"/>
      <c r="AJ346" s="547"/>
      <c r="AK346" s="547"/>
      <c r="AL346" s="547"/>
      <c r="AM346" s="547"/>
      <c r="AN346" s="547"/>
      <c r="AO346" s="547"/>
      <c r="AP346" s="547"/>
      <c r="AQ346" s="547"/>
      <c r="AR346" s="547"/>
      <c r="AS346" s="547"/>
      <c r="AT346" s="547"/>
      <c r="AU346" s="547"/>
      <c r="AV346" s="547"/>
      <c r="AW346" s="547"/>
      <c r="AX346" s="547"/>
      <c r="AY346" s="547"/>
      <c r="AZ346" s="547"/>
      <c r="BA346" s="547"/>
      <c r="BB346" s="547"/>
      <c r="BC346" s="547"/>
      <c r="BD346" s="547"/>
      <c r="BE346" s="547"/>
      <c r="BF346" s="547"/>
      <c r="BG346" s="547"/>
      <c r="BH346" s="547"/>
      <c r="BI346" s="547"/>
      <c r="BJ346" s="547"/>
      <c r="BK346" s="547"/>
      <c r="BL346" s="547"/>
      <c r="BM346" s="547"/>
      <c r="BN346" s="547"/>
      <c r="BO346" s="547"/>
      <c r="BP346" s="547"/>
      <c r="BQ346" s="547"/>
      <c r="BR346" s="547"/>
      <c r="BS346" s="547"/>
      <c r="BT346" s="547"/>
      <c r="BU346" s="547"/>
      <c r="BV346" s="547"/>
      <c r="BW346" s="547"/>
      <c r="BX346" s="547"/>
      <c r="BY346" s="547"/>
      <c r="BZ346" s="547"/>
      <c r="CA346" s="547"/>
      <c r="CB346" s="547"/>
      <c r="CC346" s="547"/>
    </row>
    <row r="347" spans="1:81">
      <c r="A347" s="547"/>
      <c r="B347" s="547"/>
      <c r="C347" s="547"/>
      <c r="D347" s="547"/>
      <c r="E347" s="547"/>
      <c r="F347" s="547"/>
      <c r="G347" s="547"/>
      <c r="H347" s="547"/>
      <c r="I347" s="547"/>
      <c r="J347" s="547"/>
      <c r="K347" s="547"/>
      <c r="L347" s="547"/>
      <c r="M347" s="547"/>
      <c r="N347" s="547"/>
      <c r="O347" s="547"/>
      <c r="P347" s="547"/>
      <c r="Q347" s="547"/>
      <c r="R347" s="547"/>
      <c r="S347" s="547"/>
      <c r="T347" s="547"/>
      <c r="U347" s="547"/>
      <c r="V347" s="547"/>
      <c r="W347" s="547"/>
      <c r="X347" s="547"/>
      <c r="Y347" s="547"/>
      <c r="Z347" s="547"/>
      <c r="AA347" s="547"/>
      <c r="AB347" s="547"/>
      <c r="AC347" s="547"/>
      <c r="AD347" s="547"/>
      <c r="AE347" s="547"/>
      <c r="AF347" s="547"/>
      <c r="AG347" s="547"/>
      <c r="AH347" s="547"/>
      <c r="AI347" s="547"/>
      <c r="AJ347" s="547"/>
      <c r="AK347" s="547"/>
      <c r="AL347" s="547"/>
      <c r="AM347" s="547"/>
      <c r="AN347" s="547"/>
      <c r="AO347" s="547"/>
      <c r="AP347" s="547"/>
      <c r="AQ347" s="547"/>
      <c r="AR347" s="547"/>
      <c r="AS347" s="547"/>
      <c r="AT347" s="547"/>
      <c r="AU347" s="547"/>
      <c r="AV347" s="547"/>
      <c r="AW347" s="547"/>
      <c r="AX347" s="547"/>
      <c r="AY347" s="547"/>
      <c r="AZ347" s="547"/>
      <c r="BA347" s="547"/>
      <c r="BB347" s="547"/>
      <c r="BC347" s="547"/>
      <c r="BD347" s="547"/>
      <c r="BE347" s="547"/>
      <c r="BF347" s="547"/>
      <c r="BG347" s="547"/>
      <c r="BH347" s="547"/>
      <c r="BI347" s="547"/>
      <c r="BJ347" s="547"/>
      <c r="BK347" s="547"/>
      <c r="BL347" s="547"/>
      <c r="BM347" s="547"/>
      <c r="BN347" s="547"/>
      <c r="BO347" s="547"/>
      <c r="BP347" s="547"/>
      <c r="BQ347" s="547"/>
      <c r="BR347" s="547"/>
      <c r="BS347" s="547"/>
      <c r="BT347" s="547"/>
      <c r="BU347" s="547"/>
      <c r="BV347" s="547"/>
      <c r="BW347" s="547"/>
      <c r="BX347" s="547"/>
      <c r="BY347" s="547"/>
      <c r="BZ347" s="547"/>
      <c r="CA347" s="547"/>
      <c r="CB347" s="547"/>
      <c r="CC347" s="547"/>
    </row>
    <row r="348" spans="1:81">
      <c r="A348" s="547"/>
      <c r="B348" s="547"/>
      <c r="C348" s="547"/>
      <c r="D348" s="547"/>
      <c r="E348" s="547"/>
      <c r="F348" s="547"/>
      <c r="G348" s="547"/>
      <c r="H348" s="547"/>
      <c r="I348" s="547"/>
      <c r="J348" s="547"/>
      <c r="K348" s="547"/>
      <c r="L348" s="547"/>
      <c r="M348" s="547"/>
      <c r="N348" s="547"/>
      <c r="O348" s="547"/>
      <c r="P348" s="547"/>
      <c r="Q348" s="547"/>
      <c r="R348" s="547"/>
      <c r="S348" s="547"/>
      <c r="T348" s="547"/>
      <c r="U348" s="547"/>
      <c r="V348" s="547"/>
      <c r="W348" s="547"/>
      <c r="X348" s="547"/>
      <c r="Y348" s="547"/>
      <c r="Z348" s="547"/>
      <c r="AA348" s="547"/>
      <c r="AB348" s="547"/>
      <c r="AC348" s="547"/>
      <c r="AD348" s="547"/>
      <c r="AE348" s="547"/>
      <c r="AF348" s="547"/>
      <c r="AG348" s="547"/>
      <c r="AH348" s="547"/>
      <c r="AI348" s="547"/>
      <c r="AJ348" s="547"/>
      <c r="AK348" s="547"/>
      <c r="AL348" s="547"/>
      <c r="AM348" s="547"/>
      <c r="AN348" s="547"/>
      <c r="AO348" s="547"/>
      <c r="AP348" s="547"/>
      <c r="AQ348" s="547"/>
      <c r="AR348" s="547"/>
      <c r="AS348" s="547"/>
      <c r="AT348" s="547"/>
      <c r="AU348" s="547"/>
      <c r="AV348" s="547"/>
      <c r="AW348" s="547"/>
      <c r="AX348" s="547"/>
      <c r="AY348" s="547"/>
      <c r="AZ348" s="547"/>
      <c r="BA348" s="547"/>
      <c r="BB348" s="547"/>
      <c r="BC348" s="547"/>
      <c r="BD348" s="547"/>
      <c r="BE348" s="547"/>
      <c r="BF348" s="547"/>
      <c r="BG348" s="547"/>
      <c r="BH348" s="547"/>
      <c r="BI348" s="547"/>
      <c r="BJ348" s="547"/>
      <c r="BK348" s="547"/>
      <c r="BL348" s="547"/>
      <c r="BM348" s="547"/>
      <c r="BN348" s="547"/>
      <c r="BO348" s="547"/>
      <c r="BP348" s="547"/>
      <c r="BQ348" s="547"/>
      <c r="BR348" s="547"/>
      <c r="BS348" s="547"/>
      <c r="BT348" s="547"/>
      <c r="BU348" s="547"/>
      <c r="BV348" s="547"/>
      <c r="BW348" s="547"/>
      <c r="BX348" s="547"/>
      <c r="BY348" s="547"/>
      <c r="BZ348" s="547"/>
      <c r="CA348" s="547"/>
      <c r="CB348" s="547"/>
      <c r="CC348" s="547"/>
    </row>
    <row r="349" spans="1:81">
      <c r="A349" s="547"/>
      <c r="B349" s="547"/>
      <c r="C349" s="547"/>
      <c r="D349" s="547"/>
      <c r="E349" s="547"/>
      <c r="F349" s="547"/>
      <c r="G349" s="547"/>
      <c r="H349" s="547"/>
      <c r="I349" s="547"/>
      <c r="J349" s="547"/>
      <c r="K349" s="547"/>
      <c r="L349" s="547"/>
      <c r="M349" s="547"/>
      <c r="N349" s="547"/>
      <c r="O349" s="547"/>
      <c r="P349" s="547"/>
      <c r="Q349" s="547"/>
      <c r="R349" s="547"/>
      <c r="S349" s="547"/>
      <c r="T349" s="547"/>
      <c r="U349" s="547"/>
      <c r="V349" s="547"/>
      <c r="W349" s="547"/>
      <c r="X349" s="547"/>
      <c r="Y349" s="547"/>
      <c r="Z349" s="547"/>
      <c r="AA349" s="547"/>
      <c r="AB349" s="547"/>
      <c r="AC349" s="547"/>
      <c r="AD349" s="547"/>
      <c r="AE349" s="547"/>
      <c r="AF349" s="547"/>
      <c r="AG349" s="547"/>
      <c r="AH349" s="547"/>
      <c r="AI349" s="547"/>
      <c r="AJ349" s="547"/>
      <c r="AK349" s="547"/>
      <c r="AL349" s="547"/>
      <c r="AM349" s="547"/>
      <c r="AN349" s="547"/>
      <c r="AO349" s="547"/>
      <c r="AP349" s="547"/>
      <c r="AQ349" s="547"/>
      <c r="AR349" s="547"/>
      <c r="AS349" s="547"/>
      <c r="AT349" s="547"/>
      <c r="AU349" s="547"/>
      <c r="AV349" s="547"/>
      <c r="AW349" s="547"/>
      <c r="AX349" s="547"/>
      <c r="AY349" s="547"/>
      <c r="AZ349" s="547"/>
      <c r="BA349" s="547"/>
      <c r="BB349" s="547"/>
      <c r="BC349" s="547"/>
      <c r="BD349" s="547"/>
      <c r="BE349" s="547"/>
      <c r="BF349" s="547"/>
      <c r="BG349" s="547"/>
      <c r="BH349" s="547"/>
      <c r="BI349" s="547"/>
      <c r="BJ349" s="547"/>
      <c r="BK349" s="547"/>
      <c r="BL349" s="547"/>
      <c r="BM349" s="547"/>
      <c r="BN349" s="547"/>
      <c r="BO349" s="547"/>
      <c r="BP349" s="547"/>
      <c r="BQ349" s="547"/>
      <c r="BR349" s="547"/>
      <c r="BS349" s="547"/>
      <c r="BT349" s="547"/>
      <c r="BU349" s="547"/>
      <c r="BV349" s="547"/>
      <c r="BW349" s="547"/>
      <c r="BX349" s="547"/>
      <c r="BY349" s="547"/>
      <c r="BZ349" s="547"/>
      <c r="CA349" s="547"/>
      <c r="CB349" s="547"/>
      <c r="CC349" s="547"/>
    </row>
    <row r="350" spans="1:81">
      <c r="A350" s="547"/>
      <c r="B350" s="547"/>
      <c r="C350" s="547"/>
      <c r="D350" s="547"/>
      <c r="E350" s="547"/>
      <c r="F350" s="547"/>
      <c r="G350" s="547"/>
      <c r="H350" s="547"/>
      <c r="I350" s="547"/>
      <c r="J350" s="547"/>
      <c r="K350" s="547"/>
      <c r="L350" s="547"/>
      <c r="M350" s="547"/>
      <c r="N350" s="547"/>
      <c r="O350" s="547"/>
      <c r="P350" s="547"/>
      <c r="Q350" s="547"/>
      <c r="R350" s="547"/>
      <c r="S350" s="547"/>
      <c r="T350" s="547"/>
      <c r="U350" s="547"/>
      <c r="V350" s="547"/>
      <c r="W350" s="547"/>
      <c r="X350" s="547"/>
      <c r="Y350" s="547"/>
      <c r="Z350" s="547"/>
      <c r="AA350" s="547"/>
      <c r="AB350" s="547"/>
      <c r="AC350" s="547"/>
      <c r="AD350" s="547"/>
      <c r="AE350" s="547"/>
      <c r="AF350" s="547"/>
      <c r="AG350" s="547"/>
      <c r="AH350" s="547"/>
      <c r="AI350" s="547"/>
      <c r="AJ350" s="547"/>
      <c r="AK350" s="547"/>
      <c r="AL350" s="547"/>
      <c r="AM350" s="547"/>
      <c r="AN350" s="547"/>
      <c r="AO350" s="547"/>
      <c r="AP350" s="547"/>
      <c r="AQ350" s="547"/>
      <c r="AR350" s="547"/>
      <c r="AS350" s="547"/>
      <c r="AT350" s="547"/>
      <c r="AU350" s="547"/>
      <c r="AV350" s="547"/>
      <c r="AW350" s="547"/>
      <c r="AX350" s="547"/>
      <c r="AY350" s="547"/>
      <c r="AZ350" s="547"/>
      <c r="BA350" s="547"/>
      <c r="BB350" s="547"/>
      <c r="BC350" s="547"/>
      <c r="BD350" s="547"/>
      <c r="BE350" s="547"/>
      <c r="BF350" s="547"/>
      <c r="BG350" s="547"/>
      <c r="BH350" s="547"/>
      <c r="BI350" s="547"/>
      <c r="BJ350" s="547"/>
      <c r="BK350" s="547"/>
      <c r="BL350" s="547"/>
      <c r="BM350" s="547"/>
      <c r="BN350" s="547"/>
      <c r="BO350" s="547"/>
      <c r="BP350" s="547"/>
      <c r="BQ350" s="547"/>
      <c r="BR350" s="547"/>
      <c r="BS350" s="547"/>
      <c r="BT350" s="547"/>
      <c r="BU350" s="547"/>
      <c r="BV350" s="547"/>
      <c r="BW350" s="547"/>
      <c r="BX350" s="547"/>
      <c r="BY350" s="547"/>
      <c r="BZ350" s="547"/>
      <c r="CA350" s="547"/>
      <c r="CB350" s="547"/>
      <c r="CC350" s="547"/>
    </row>
    <row r="351" spans="1:81">
      <c r="A351" s="547"/>
      <c r="B351" s="547"/>
      <c r="C351" s="547"/>
      <c r="D351" s="547"/>
      <c r="E351" s="547"/>
      <c r="F351" s="547"/>
      <c r="G351" s="547"/>
      <c r="H351" s="547"/>
      <c r="I351" s="547"/>
      <c r="J351" s="547"/>
      <c r="K351" s="547"/>
      <c r="L351" s="547"/>
      <c r="M351" s="547"/>
      <c r="N351" s="547"/>
      <c r="O351" s="547"/>
      <c r="P351" s="547"/>
      <c r="Q351" s="547"/>
      <c r="R351" s="547"/>
      <c r="S351" s="547"/>
      <c r="T351" s="547"/>
      <c r="U351" s="547"/>
      <c r="V351" s="547"/>
      <c r="W351" s="547"/>
      <c r="X351" s="547"/>
      <c r="Y351" s="547"/>
      <c r="Z351" s="547"/>
      <c r="AA351" s="547"/>
      <c r="AB351" s="547"/>
      <c r="AC351" s="547"/>
      <c r="AD351" s="547"/>
      <c r="AE351" s="547"/>
      <c r="AF351" s="547"/>
      <c r="AG351" s="547"/>
      <c r="AH351" s="547"/>
      <c r="AI351" s="547"/>
      <c r="AJ351" s="547"/>
      <c r="AK351" s="547"/>
      <c r="AL351" s="547"/>
      <c r="AM351" s="547"/>
      <c r="AN351" s="547"/>
      <c r="AO351" s="547"/>
      <c r="AP351" s="547"/>
      <c r="AQ351" s="547"/>
      <c r="AR351" s="547"/>
      <c r="AS351" s="547"/>
      <c r="AT351" s="547"/>
      <c r="AU351" s="547"/>
      <c r="AV351" s="547"/>
      <c r="AW351" s="547"/>
      <c r="AX351" s="547"/>
      <c r="AY351" s="547"/>
      <c r="AZ351" s="547"/>
      <c r="BA351" s="547"/>
      <c r="BB351" s="547"/>
      <c r="BC351" s="547"/>
      <c r="BD351" s="547"/>
      <c r="BE351" s="547"/>
      <c r="BF351" s="547"/>
      <c r="BG351" s="547"/>
      <c r="BH351" s="547"/>
      <c r="BI351" s="547"/>
      <c r="BJ351" s="547"/>
      <c r="BK351" s="547"/>
      <c r="BL351" s="547"/>
      <c r="BM351" s="547"/>
      <c r="BN351" s="547"/>
      <c r="BO351" s="547"/>
      <c r="BP351" s="547"/>
      <c r="BQ351" s="547"/>
      <c r="BR351" s="547"/>
      <c r="BS351" s="547"/>
      <c r="BT351" s="547"/>
      <c r="BU351" s="547"/>
      <c r="BV351" s="547"/>
      <c r="BW351" s="547"/>
      <c r="BX351" s="547"/>
      <c r="BY351" s="547"/>
      <c r="BZ351" s="547"/>
      <c r="CA351" s="547"/>
      <c r="CB351" s="547"/>
      <c r="CC351" s="547"/>
    </row>
    <row r="352" spans="1:81">
      <c r="A352" s="547"/>
      <c r="B352" s="547"/>
      <c r="C352" s="547"/>
      <c r="D352" s="547"/>
      <c r="E352" s="547"/>
      <c r="F352" s="547"/>
      <c r="G352" s="547"/>
      <c r="H352" s="547"/>
      <c r="I352" s="547"/>
      <c r="J352" s="547"/>
      <c r="K352" s="547"/>
      <c r="L352" s="547"/>
      <c r="M352" s="547"/>
      <c r="N352" s="547"/>
      <c r="O352" s="547"/>
      <c r="P352" s="547"/>
      <c r="Q352" s="547"/>
      <c r="R352" s="547"/>
      <c r="S352" s="547"/>
      <c r="T352" s="547"/>
      <c r="U352" s="547"/>
      <c r="V352" s="547"/>
      <c r="W352" s="547"/>
      <c r="X352" s="547"/>
      <c r="Y352" s="547"/>
      <c r="Z352" s="547"/>
      <c r="AA352" s="547"/>
      <c r="AB352" s="547"/>
      <c r="AC352" s="547"/>
      <c r="AD352" s="547"/>
      <c r="AE352" s="547"/>
      <c r="AF352" s="547"/>
      <c r="AG352" s="547"/>
      <c r="AH352" s="547"/>
      <c r="AI352" s="547"/>
      <c r="AJ352" s="547"/>
      <c r="AK352" s="547"/>
      <c r="AL352" s="547"/>
      <c r="AM352" s="547"/>
      <c r="AN352" s="547"/>
      <c r="AO352" s="547"/>
      <c r="AP352" s="547"/>
      <c r="AQ352" s="547"/>
      <c r="AR352" s="547"/>
      <c r="AS352" s="547"/>
      <c r="AT352" s="547"/>
      <c r="AU352" s="547"/>
      <c r="AV352" s="547"/>
      <c r="AW352" s="547"/>
      <c r="AX352" s="547"/>
      <c r="AY352" s="547"/>
      <c r="AZ352" s="547"/>
      <c r="BA352" s="547"/>
      <c r="BB352" s="547"/>
      <c r="BC352" s="547"/>
      <c r="BD352" s="547"/>
      <c r="BE352" s="547"/>
      <c r="BF352" s="547"/>
      <c r="BG352" s="547"/>
      <c r="BH352" s="547"/>
      <c r="BI352" s="547"/>
      <c r="BJ352" s="547"/>
      <c r="BK352" s="547"/>
      <c r="BL352" s="547"/>
      <c r="BM352" s="547"/>
      <c r="BN352" s="547"/>
      <c r="BO352" s="547"/>
      <c r="BP352" s="547"/>
      <c r="BQ352" s="547"/>
      <c r="BR352" s="547"/>
      <c r="BS352" s="547"/>
      <c r="BT352" s="547"/>
      <c r="BU352" s="547"/>
      <c r="BV352" s="547"/>
      <c r="BW352" s="547"/>
      <c r="BX352" s="547"/>
      <c r="BY352" s="547"/>
      <c r="BZ352" s="547"/>
      <c r="CA352" s="547"/>
      <c r="CB352" s="547"/>
      <c r="CC352" s="547"/>
    </row>
    <row r="353" spans="1:81">
      <c r="A353" s="547"/>
      <c r="B353" s="547"/>
      <c r="C353" s="547"/>
      <c r="D353" s="547"/>
      <c r="E353" s="547"/>
      <c r="F353" s="547"/>
      <c r="G353" s="547"/>
      <c r="H353" s="547"/>
      <c r="I353" s="547"/>
      <c r="J353" s="547"/>
      <c r="K353" s="547"/>
      <c r="L353" s="547"/>
      <c r="M353" s="547"/>
      <c r="N353" s="547"/>
      <c r="O353" s="547"/>
      <c r="P353" s="547"/>
      <c r="Q353" s="547"/>
      <c r="R353" s="547"/>
      <c r="S353" s="547"/>
      <c r="T353" s="547"/>
      <c r="U353" s="547"/>
      <c r="V353" s="547"/>
      <c r="W353" s="547"/>
      <c r="X353" s="547"/>
      <c r="Y353" s="547"/>
      <c r="Z353" s="547"/>
      <c r="AA353" s="547"/>
      <c r="AB353" s="547"/>
      <c r="AC353" s="547"/>
      <c r="AD353" s="547"/>
      <c r="AE353" s="547"/>
      <c r="AF353" s="547"/>
      <c r="AG353" s="547"/>
      <c r="AH353" s="547"/>
      <c r="AI353" s="547"/>
      <c r="AJ353" s="547"/>
      <c r="AK353" s="547"/>
      <c r="AL353" s="547"/>
      <c r="AM353" s="547"/>
      <c r="AN353" s="547"/>
      <c r="AO353" s="547"/>
      <c r="AP353" s="547"/>
      <c r="AQ353" s="547"/>
      <c r="AR353" s="547"/>
      <c r="AS353" s="547"/>
      <c r="AT353" s="547"/>
      <c r="AU353" s="547"/>
      <c r="AV353" s="547"/>
      <c r="AW353" s="547"/>
      <c r="AX353" s="547"/>
      <c r="AY353" s="547"/>
      <c r="AZ353" s="547"/>
      <c r="BA353" s="547"/>
      <c r="BB353" s="547"/>
      <c r="BC353" s="547"/>
      <c r="BD353" s="547"/>
      <c r="BE353" s="547"/>
      <c r="BF353" s="547"/>
      <c r="BG353" s="547"/>
      <c r="BH353" s="547"/>
      <c r="BI353" s="547"/>
      <c r="BJ353" s="547"/>
      <c r="BK353" s="547"/>
      <c r="BL353" s="547"/>
      <c r="BM353" s="547"/>
      <c r="BN353" s="547"/>
      <c r="BO353" s="547"/>
      <c r="BP353" s="547"/>
      <c r="BQ353" s="547"/>
      <c r="BR353" s="547"/>
      <c r="BS353" s="547"/>
      <c r="BT353" s="547"/>
      <c r="BU353" s="547"/>
      <c r="BV353" s="547"/>
      <c r="BW353" s="547"/>
      <c r="BX353" s="547"/>
      <c r="BY353" s="547"/>
      <c r="BZ353" s="547"/>
      <c r="CA353" s="547"/>
      <c r="CB353" s="547"/>
      <c r="CC353" s="547"/>
    </row>
    <row r="354" spans="1:81">
      <c r="A354" s="547"/>
      <c r="B354" s="547"/>
      <c r="C354" s="547"/>
      <c r="D354" s="547"/>
      <c r="E354" s="547"/>
      <c r="F354" s="547"/>
      <c r="G354" s="547"/>
      <c r="H354" s="547"/>
      <c r="I354" s="547"/>
      <c r="J354" s="547"/>
      <c r="K354" s="547"/>
      <c r="L354" s="547"/>
      <c r="M354" s="547"/>
      <c r="N354" s="547"/>
      <c r="O354" s="547"/>
      <c r="P354" s="547"/>
      <c r="Q354" s="547"/>
      <c r="R354" s="547"/>
      <c r="S354" s="547"/>
      <c r="T354" s="547"/>
      <c r="U354" s="547"/>
      <c r="V354" s="547"/>
      <c r="W354" s="547"/>
      <c r="X354" s="547"/>
      <c r="Y354" s="547"/>
      <c r="Z354" s="547"/>
      <c r="AA354" s="547"/>
      <c r="AB354" s="547"/>
      <c r="AC354" s="547"/>
      <c r="AD354" s="547"/>
      <c r="AE354" s="547"/>
      <c r="AF354" s="547"/>
      <c r="AG354" s="547"/>
      <c r="AH354" s="547"/>
      <c r="AI354" s="547"/>
      <c r="AJ354" s="547"/>
      <c r="AK354" s="547"/>
      <c r="AL354" s="547"/>
      <c r="AM354" s="547"/>
      <c r="AN354" s="547"/>
      <c r="AO354" s="547"/>
      <c r="AP354" s="547"/>
      <c r="AQ354" s="547"/>
      <c r="AR354" s="547"/>
      <c r="AS354" s="547"/>
      <c r="AT354" s="547"/>
      <c r="AU354" s="547"/>
      <c r="AV354" s="547"/>
      <c r="AW354" s="547"/>
      <c r="AX354" s="547"/>
      <c r="AY354" s="547"/>
      <c r="AZ354" s="547"/>
      <c r="BA354" s="547"/>
      <c r="BB354" s="547"/>
      <c r="BC354" s="547"/>
      <c r="BD354" s="547"/>
      <c r="BE354" s="547"/>
      <c r="BF354" s="547"/>
      <c r="BG354" s="547"/>
      <c r="BH354" s="547"/>
      <c r="BI354" s="547"/>
      <c r="BJ354" s="547"/>
      <c r="BK354" s="547"/>
      <c r="BL354" s="547"/>
      <c r="BM354" s="547"/>
      <c r="BN354" s="547"/>
      <c r="BO354" s="547"/>
      <c r="BP354" s="547"/>
      <c r="BQ354" s="547"/>
      <c r="BR354" s="547"/>
      <c r="BS354" s="547"/>
      <c r="BT354" s="547"/>
      <c r="BU354" s="547"/>
      <c r="BV354" s="547"/>
      <c r="BW354" s="547"/>
      <c r="BX354" s="547"/>
      <c r="BY354" s="547"/>
      <c r="BZ354" s="547"/>
      <c r="CA354" s="547"/>
      <c r="CB354" s="547"/>
      <c r="CC354" s="547"/>
    </row>
    <row r="355" spans="1:81">
      <c r="A355" s="547"/>
      <c r="B355" s="547"/>
      <c r="C355" s="547"/>
      <c r="D355" s="547"/>
      <c r="E355" s="547"/>
      <c r="F355" s="547"/>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7"/>
      <c r="AD355" s="547"/>
      <c r="AE355" s="547"/>
      <c r="AF355" s="547"/>
      <c r="AG355" s="547"/>
      <c r="AH355" s="547"/>
      <c r="AI355" s="547"/>
      <c r="AJ355" s="547"/>
      <c r="AK355" s="547"/>
      <c r="AL355" s="547"/>
      <c r="AM355" s="547"/>
      <c r="AN355" s="547"/>
      <c r="AO355" s="547"/>
      <c r="AP355" s="547"/>
      <c r="AQ355" s="547"/>
      <c r="AR355" s="547"/>
      <c r="AS355" s="547"/>
      <c r="AT355" s="547"/>
      <c r="AU355" s="547"/>
      <c r="AV355" s="547"/>
      <c r="AW355" s="547"/>
      <c r="AX355" s="547"/>
      <c r="AY355" s="547"/>
      <c r="AZ355" s="547"/>
      <c r="BA355" s="547"/>
      <c r="BB355" s="547"/>
      <c r="BC355" s="547"/>
      <c r="BD355" s="547"/>
      <c r="BE355" s="547"/>
      <c r="BF355" s="547"/>
      <c r="BG355" s="547"/>
      <c r="BH355" s="547"/>
      <c r="BI355" s="547"/>
      <c r="BJ355" s="547"/>
      <c r="BK355" s="547"/>
      <c r="BL355" s="547"/>
      <c r="BM355" s="547"/>
      <c r="BN355" s="547"/>
      <c r="BO355" s="547"/>
      <c r="BP355" s="547"/>
      <c r="BQ355" s="547"/>
      <c r="BR355" s="547"/>
      <c r="BS355" s="547"/>
      <c r="BT355" s="547"/>
      <c r="BU355" s="547"/>
      <c r="BV355" s="547"/>
      <c r="BW355" s="547"/>
      <c r="BX355" s="547"/>
      <c r="BY355" s="547"/>
      <c r="BZ355" s="547"/>
      <c r="CA355" s="547"/>
      <c r="CB355" s="547"/>
      <c r="CC355" s="547"/>
    </row>
    <row r="356" spans="1:81">
      <c r="A356" s="547"/>
      <c r="B356" s="547"/>
      <c r="C356" s="547"/>
      <c r="D356" s="547"/>
      <c r="E356" s="547"/>
      <c r="F356" s="547"/>
      <c r="G356" s="547"/>
      <c r="H356" s="547"/>
      <c r="I356" s="547"/>
      <c r="J356" s="547"/>
      <c r="K356" s="547"/>
      <c r="L356" s="547"/>
      <c r="M356" s="547"/>
      <c r="N356" s="547"/>
      <c r="O356" s="547"/>
      <c r="P356" s="547"/>
      <c r="Q356" s="547"/>
      <c r="R356" s="547"/>
      <c r="S356" s="547"/>
      <c r="T356" s="547"/>
      <c r="U356" s="547"/>
      <c r="V356" s="547"/>
      <c r="W356" s="547"/>
      <c r="X356" s="547"/>
      <c r="Y356" s="547"/>
      <c r="Z356" s="547"/>
      <c r="AA356" s="547"/>
      <c r="AB356" s="547"/>
      <c r="AC356" s="547"/>
      <c r="AD356" s="547"/>
      <c r="AE356" s="547"/>
      <c r="AF356" s="547"/>
      <c r="AG356" s="547"/>
      <c r="AH356" s="547"/>
      <c r="AI356" s="547"/>
      <c r="AJ356" s="547"/>
      <c r="AK356" s="547"/>
      <c r="AL356" s="547"/>
      <c r="AM356" s="547"/>
      <c r="AN356" s="547"/>
      <c r="AO356" s="547"/>
      <c r="AP356" s="547"/>
      <c r="AQ356" s="547"/>
      <c r="AR356" s="547"/>
      <c r="AS356" s="547"/>
      <c r="AT356" s="547"/>
      <c r="AU356" s="547"/>
      <c r="AV356" s="547"/>
      <c r="AW356" s="547"/>
      <c r="AX356" s="547"/>
      <c r="AY356" s="547"/>
      <c r="AZ356" s="547"/>
      <c r="BA356" s="547"/>
      <c r="BB356" s="547"/>
      <c r="BC356" s="547"/>
      <c r="BD356" s="547"/>
      <c r="BE356" s="547"/>
      <c r="BF356" s="547"/>
      <c r="BG356" s="547"/>
      <c r="BH356" s="547"/>
      <c r="BI356" s="547"/>
      <c r="BJ356" s="547"/>
      <c r="BK356" s="547"/>
      <c r="BL356" s="547"/>
      <c r="BM356" s="547"/>
      <c r="BN356" s="547"/>
      <c r="BO356" s="547"/>
      <c r="BP356" s="547"/>
      <c r="BQ356" s="547"/>
      <c r="BR356" s="547"/>
      <c r="BS356" s="547"/>
      <c r="BT356" s="547"/>
      <c r="BU356" s="547"/>
      <c r="BV356" s="547"/>
      <c r="BW356" s="547"/>
      <c r="BX356" s="547"/>
      <c r="BY356" s="547"/>
      <c r="BZ356" s="547"/>
      <c r="CA356" s="547"/>
      <c r="CB356" s="547"/>
      <c r="CC356" s="547"/>
    </row>
    <row r="357" spans="1:81">
      <c r="A357" s="547"/>
      <c r="B357" s="547"/>
      <c r="C357" s="547"/>
      <c r="D357" s="547"/>
      <c r="E357" s="547"/>
      <c r="F357" s="547"/>
      <c r="G357" s="547"/>
      <c r="H357" s="547"/>
      <c r="I357" s="547"/>
      <c r="J357" s="547"/>
      <c r="K357" s="547"/>
      <c r="L357" s="547"/>
      <c r="M357" s="547"/>
      <c r="N357" s="547"/>
      <c r="O357" s="547"/>
      <c r="P357" s="547"/>
      <c r="Q357" s="547"/>
      <c r="R357" s="547"/>
      <c r="S357" s="547"/>
      <c r="T357" s="547"/>
      <c r="U357" s="547"/>
      <c r="V357" s="547"/>
      <c r="W357" s="547"/>
      <c r="X357" s="547"/>
      <c r="Y357" s="547"/>
      <c r="Z357" s="547"/>
      <c r="AA357" s="547"/>
      <c r="AB357" s="547"/>
      <c r="AC357" s="547"/>
      <c r="AD357" s="547"/>
      <c r="AE357" s="547"/>
      <c r="AF357" s="547"/>
      <c r="AG357" s="547"/>
      <c r="AH357" s="547"/>
      <c r="AI357" s="547"/>
      <c r="AJ357" s="547"/>
      <c r="AK357" s="547"/>
      <c r="AL357" s="547"/>
      <c r="AM357" s="547"/>
      <c r="AN357" s="547"/>
      <c r="AO357" s="547"/>
      <c r="AP357" s="547"/>
      <c r="AQ357" s="547"/>
      <c r="AR357" s="547"/>
      <c r="AS357" s="547"/>
      <c r="AT357" s="547"/>
      <c r="AU357" s="547"/>
      <c r="AV357" s="547"/>
      <c r="AW357" s="547"/>
      <c r="AX357" s="547"/>
      <c r="AY357" s="547"/>
      <c r="AZ357" s="547"/>
      <c r="BA357" s="547"/>
      <c r="BB357" s="547"/>
      <c r="BC357" s="547"/>
      <c r="BD357" s="547"/>
      <c r="BE357" s="547"/>
      <c r="BF357" s="547"/>
      <c r="BG357" s="547"/>
      <c r="BH357" s="547"/>
      <c r="BI357" s="547"/>
      <c r="BJ357" s="547"/>
      <c r="BK357" s="547"/>
      <c r="BL357" s="547"/>
      <c r="BM357" s="547"/>
      <c r="BN357" s="547"/>
      <c r="BO357" s="547"/>
      <c r="BP357" s="547"/>
      <c r="BQ357" s="547"/>
      <c r="BR357" s="547"/>
      <c r="BS357" s="547"/>
      <c r="BT357" s="547"/>
      <c r="BU357" s="547"/>
      <c r="BV357" s="547"/>
      <c r="BW357" s="547"/>
      <c r="BX357" s="547"/>
      <c r="BY357" s="547"/>
      <c r="BZ357" s="547"/>
      <c r="CA357" s="547"/>
      <c r="CB357" s="547"/>
      <c r="CC357" s="547"/>
    </row>
    <row r="358" spans="1:81">
      <c r="A358" s="547"/>
      <c r="B358" s="547"/>
      <c r="C358" s="547"/>
      <c r="D358" s="547"/>
      <c r="E358" s="547"/>
      <c r="F358" s="547"/>
      <c r="G358" s="547"/>
      <c r="H358" s="547"/>
      <c r="I358" s="547"/>
      <c r="J358" s="547"/>
      <c r="K358" s="547"/>
      <c r="L358" s="547"/>
      <c r="M358" s="547"/>
      <c r="N358" s="547"/>
      <c r="O358" s="547"/>
      <c r="P358" s="547"/>
      <c r="Q358" s="547"/>
      <c r="R358" s="547"/>
      <c r="S358" s="547"/>
      <c r="T358" s="547"/>
      <c r="U358" s="547"/>
      <c r="V358" s="547"/>
      <c r="W358" s="547"/>
      <c r="X358" s="547"/>
      <c r="Y358" s="547"/>
      <c r="Z358" s="547"/>
      <c r="AA358" s="547"/>
      <c r="AB358" s="547"/>
      <c r="AC358" s="547"/>
      <c r="AD358" s="547"/>
      <c r="AE358" s="547"/>
      <c r="AF358" s="547"/>
      <c r="AG358" s="547"/>
      <c r="AH358" s="547"/>
      <c r="AI358" s="547"/>
      <c r="AJ358" s="547"/>
      <c r="AK358" s="547"/>
      <c r="AL358" s="547"/>
      <c r="AM358" s="547"/>
      <c r="AN358" s="547"/>
      <c r="AO358" s="547"/>
      <c r="AP358" s="547"/>
      <c r="AQ358" s="547"/>
      <c r="AR358" s="547"/>
      <c r="AS358" s="547"/>
      <c r="AT358" s="547"/>
      <c r="AU358" s="547"/>
      <c r="AV358" s="547"/>
      <c r="AW358" s="547"/>
      <c r="AX358" s="547"/>
      <c r="AY358" s="547"/>
      <c r="AZ358" s="547"/>
      <c r="BA358" s="547"/>
      <c r="BB358" s="547"/>
      <c r="BC358" s="547"/>
      <c r="BD358" s="547"/>
      <c r="BE358" s="547"/>
      <c r="BF358" s="547"/>
      <c r="BG358" s="547"/>
      <c r="BH358" s="547"/>
      <c r="BI358" s="547"/>
      <c r="BJ358" s="547"/>
      <c r="BK358" s="547"/>
      <c r="BL358" s="547"/>
      <c r="BM358" s="547"/>
      <c r="BN358" s="547"/>
      <c r="BO358" s="547"/>
      <c r="BP358" s="547"/>
      <c r="BQ358" s="547"/>
      <c r="BR358" s="547"/>
      <c r="BS358" s="547"/>
      <c r="BT358" s="547"/>
      <c r="BU358" s="547"/>
      <c r="BV358" s="547"/>
      <c r="BW358" s="547"/>
      <c r="BX358" s="547"/>
      <c r="BY358" s="547"/>
      <c r="BZ358" s="547"/>
      <c r="CA358" s="547"/>
      <c r="CB358" s="547"/>
      <c r="CC358" s="547"/>
    </row>
    <row r="359" spans="1:81">
      <c r="A359" s="547"/>
      <c r="B359" s="547"/>
      <c r="C359" s="547"/>
      <c r="D359" s="547"/>
      <c r="E359" s="547"/>
      <c r="F359" s="547"/>
      <c r="G359" s="547"/>
      <c r="H359" s="547"/>
      <c r="I359" s="547"/>
      <c r="J359" s="547"/>
      <c r="K359" s="547"/>
      <c r="L359" s="547"/>
      <c r="M359" s="547"/>
      <c r="N359" s="547"/>
      <c r="O359" s="547"/>
      <c r="P359" s="547"/>
      <c r="Q359" s="547"/>
      <c r="R359" s="547"/>
      <c r="S359" s="547"/>
      <c r="T359" s="547"/>
      <c r="U359" s="547"/>
      <c r="V359" s="547"/>
      <c r="W359" s="547"/>
      <c r="X359" s="547"/>
      <c r="Y359" s="547"/>
      <c r="Z359" s="547"/>
      <c r="AA359" s="547"/>
      <c r="AB359" s="547"/>
      <c r="AC359" s="547"/>
      <c r="AD359" s="547"/>
      <c r="AE359" s="547"/>
      <c r="AF359" s="547"/>
      <c r="AG359" s="547"/>
      <c r="AH359" s="547"/>
      <c r="AI359" s="547"/>
      <c r="AJ359" s="547"/>
      <c r="AK359" s="547"/>
      <c r="AL359" s="547"/>
      <c r="AM359" s="547"/>
      <c r="AN359" s="547"/>
      <c r="AO359" s="547"/>
      <c r="AP359" s="547"/>
      <c r="AQ359" s="547"/>
      <c r="AR359" s="547"/>
      <c r="AS359" s="547"/>
      <c r="AT359" s="547"/>
      <c r="AU359" s="547"/>
      <c r="AV359" s="547"/>
      <c r="AW359" s="547"/>
      <c r="AX359" s="547"/>
      <c r="AY359" s="547"/>
      <c r="AZ359" s="547"/>
      <c r="BA359" s="547"/>
      <c r="BB359" s="547"/>
      <c r="BC359" s="547"/>
      <c r="BD359" s="547"/>
      <c r="BE359" s="547"/>
      <c r="BF359" s="547"/>
      <c r="BG359" s="547"/>
      <c r="BH359" s="547"/>
      <c r="BI359" s="547"/>
      <c r="BJ359" s="547"/>
      <c r="BK359" s="547"/>
      <c r="BL359" s="547"/>
      <c r="BM359" s="547"/>
      <c r="BN359" s="547"/>
      <c r="BO359" s="547"/>
      <c r="BP359" s="547"/>
      <c r="BQ359" s="547"/>
      <c r="BR359" s="547"/>
      <c r="BS359" s="547"/>
      <c r="BT359" s="547"/>
      <c r="BU359" s="547"/>
      <c r="BV359" s="547"/>
      <c r="BW359" s="547"/>
      <c r="BX359" s="547"/>
      <c r="BY359" s="547"/>
      <c r="BZ359" s="547"/>
      <c r="CA359" s="547"/>
      <c r="CB359" s="547"/>
      <c r="CC359" s="547"/>
    </row>
    <row r="360" spans="1:81">
      <c r="A360" s="547"/>
      <c r="B360" s="547"/>
      <c r="C360" s="547"/>
      <c r="D360" s="547"/>
      <c r="E360" s="547"/>
      <c r="F360" s="547"/>
      <c r="G360" s="547"/>
      <c r="H360" s="547"/>
      <c r="I360" s="547"/>
      <c r="J360" s="547"/>
      <c r="K360" s="547"/>
      <c r="L360" s="547"/>
      <c r="M360" s="547"/>
      <c r="N360" s="547"/>
      <c r="O360" s="547"/>
      <c r="P360" s="547"/>
      <c r="Q360" s="547"/>
      <c r="R360" s="547"/>
      <c r="S360" s="547"/>
      <c r="T360" s="547"/>
      <c r="U360" s="547"/>
      <c r="V360" s="547"/>
      <c r="W360" s="547"/>
      <c r="X360" s="547"/>
      <c r="Y360" s="547"/>
      <c r="Z360" s="547"/>
      <c r="AA360" s="547"/>
      <c r="AB360" s="547"/>
      <c r="AC360" s="547"/>
      <c r="AD360" s="547"/>
      <c r="AE360" s="547"/>
      <c r="AF360" s="547"/>
      <c r="AG360" s="547"/>
      <c r="AH360" s="547"/>
      <c r="AI360" s="547"/>
      <c r="AJ360" s="547"/>
      <c r="AK360" s="547"/>
      <c r="AL360" s="547"/>
      <c r="AM360" s="547"/>
      <c r="AN360" s="547"/>
      <c r="AO360" s="547"/>
      <c r="AP360" s="547"/>
      <c r="AQ360" s="547"/>
      <c r="AR360" s="547"/>
      <c r="AS360" s="547"/>
      <c r="AT360" s="547"/>
      <c r="AU360" s="547"/>
      <c r="AV360" s="547"/>
      <c r="AW360" s="547"/>
      <c r="AX360" s="547"/>
      <c r="AY360" s="547"/>
      <c r="AZ360" s="547"/>
      <c r="BA360" s="547"/>
      <c r="BB360" s="547"/>
      <c r="BC360" s="547"/>
      <c r="BD360" s="547"/>
      <c r="BE360" s="547"/>
      <c r="BF360" s="547"/>
      <c r="BG360" s="547"/>
      <c r="BH360" s="547"/>
      <c r="BI360" s="547"/>
      <c r="BJ360" s="547"/>
      <c r="BK360" s="547"/>
      <c r="BL360" s="547"/>
      <c r="BM360" s="547"/>
      <c r="BN360" s="547"/>
      <c r="BO360" s="547"/>
      <c r="BP360" s="547"/>
      <c r="BQ360" s="547"/>
      <c r="BR360" s="547"/>
      <c r="BS360" s="547"/>
      <c r="BT360" s="547"/>
      <c r="BU360" s="547"/>
      <c r="BV360" s="547"/>
      <c r="BW360" s="547"/>
      <c r="BX360" s="547"/>
      <c r="BY360" s="547"/>
      <c r="BZ360" s="547"/>
      <c r="CA360" s="547"/>
      <c r="CB360" s="547"/>
      <c r="CC360" s="547"/>
    </row>
    <row r="361" spans="1:81">
      <c r="A361" s="547"/>
      <c r="B361" s="547"/>
      <c r="C361" s="547"/>
      <c r="D361" s="547"/>
      <c r="E361" s="547"/>
      <c r="F361" s="547"/>
      <c r="G361" s="547"/>
      <c r="H361" s="547"/>
      <c r="I361" s="547"/>
      <c r="J361" s="547"/>
      <c r="K361" s="547"/>
      <c r="L361" s="547"/>
      <c r="M361" s="547"/>
      <c r="N361" s="547"/>
      <c r="O361" s="547"/>
      <c r="P361" s="547"/>
      <c r="Q361" s="547"/>
      <c r="R361" s="547"/>
      <c r="S361" s="547"/>
      <c r="T361" s="547"/>
      <c r="U361" s="547"/>
      <c r="V361" s="547"/>
      <c r="W361" s="547"/>
      <c r="X361" s="547"/>
      <c r="Y361" s="547"/>
      <c r="Z361" s="547"/>
      <c r="AA361" s="547"/>
      <c r="AB361" s="547"/>
      <c r="AC361" s="547"/>
      <c r="AD361" s="547"/>
      <c r="AE361" s="547"/>
      <c r="AF361" s="547"/>
      <c r="AG361" s="547"/>
      <c r="AH361" s="547"/>
      <c r="AI361" s="547"/>
      <c r="AJ361" s="547"/>
      <c r="AK361" s="547"/>
      <c r="AL361" s="547"/>
      <c r="AM361" s="547"/>
      <c r="AN361" s="547"/>
      <c r="AO361" s="547"/>
      <c r="AP361" s="547"/>
      <c r="AQ361" s="547"/>
      <c r="AR361" s="547"/>
      <c r="AS361" s="547"/>
      <c r="AT361" s="547"/>
      <c r="AU361" s="547"/>
      <c r="AV361" s="547"/>
      <c r="AW361" s="547"/>
      <c r="AX361" s="547"/>
      <c r="AY361" s="547"/>
      <c r="AZ361" s="547"/>
      <c r="BA361" s="547"/>
      <c r="BB361" s="547"/>
      <c r="BC361" s="547"/>
      <c r="BD361" s="547"/>
      <c r="BE361" s="547"/>
      <c r="BF361" s="547"/>
      <c r="BG361" s="547"/>
      <c r="BH361" s="547"/>
      <c r="BI361" s="547"/>
      <c r="BJ361" s="547"/>
      <c r="BK361" s="547"/>
      <c r="BL361" s="547"/>
      <c r="BM361" s="547"/>
      <c r="BN361" s="547"/>
      <c r="BO361" s="547"/>
      <c r="BP361" s="547"/>
      <c r="BQ361" s="547"/>
      <c r="BR361" s="547"/>
      <c r="BS361" s="547"/>
      <c r="BT361" s="547"/>
      <c r="BU361" s="547"/>
      <c r="BV361" s="547"/>
      <c r="BW361" s="547"/>
      <c r="BX361" s="547"/>
      <c r="BY361" s="547"/>
      <c r="BZ361" s="547"/>
      <c r="CA361" s="547"/>
      <c r="CB361" s="547"/>
      <c r="CC361" s="547"/>
    </row>
    <row r="362" spans="1:81">
      <c r="A362" s="547"/>
      <c r="B362" s="547"/>
      <c r="C362" s="547"/>
      <c r="D362" s="547"/>
      <c r="E362" s="547"/>
      <c r="F362" s="547"/>
      <c r="G362" s="547"/>
      <c r="H362" s="547"/>
      <c r="I362" s="547"/>
      <c r="J362" s="547"/>
      <c r="K362" s="547"/>
      <c r="L362" s="547"/>
      <c r="M362" s="547"/>
      <c r="N362" s="547"/>
      <c r="O362" s="547"/>
      <c r="P362" s="547"/>
      <c r="Q362" s="547"/>
      <c r="R362" s="547"/>
      <c r="S362" s="547"/>
      <c r="T362" s="547"/>
      <c r="U362" s="547"/>
      <c r="V362" s="547"/>
      <c r="W362" s="547"/>
      <c r="X362" s="547"/>
      <c r="Y362" s="547"/>
      <c r="Z362" s="547"/>
      <c r="AA362" s="547"/>
      <c r="AB362" s="547"/>
      <c r="AC362" s="547"/>
      <c r="AD362" s="547"/>
      <c r="AE362" s="547"/>
      <c r="AF362" s="547"/>
      <c r="AG362" s="547"/>
      <c r="AH362" s="547"/>
      <c r="AI362" s="547"/>
      <c r="AJ362" s="547"/>
      <c r="AK362" s="547"/>
      <c r="AL362" s="547"/>
      <c r="AM362" s="547"/>
      <c r="AN362" s="547"/>
      <c r="AO362" s="547"/>
      <c r="AP362" s="547"/>
      <c r="AQ362" s="547"/>
      <c r="AR362" s="547"/>
      <c r="AS362" s="547"/>
      <c r="AT362" s="547"/>
      <c r="AU362" s="547"/>
      <c r="AV362" s="547"/>
      <c r="AW362" s="547"/>
      <c r="AX362" s="547"/>
      <c r="AY362" s="547"/>
      <c r="AZ362" s="547"/>
      <c r="BA362" s="547"/>
      <c r="BB362" s="547"/>
      <c r="BC362" s="547"/>
      <c r="BD362" s="547"/>
      <c r="BE362" s="547"/>
      <c r="BF362" s="547"/>
      <c r="BG362" s="547"/>
      <c r="BH362" s="547"/>
      <c r="BI362" s="547"/>
      <c r="BJ362" s="547"/>
      <c r="BK362" s="547"/>
      <c r="BL362" s="547"/>
      <c r="BM362" s="547"/>
      <c r="BN362" s="547"/>
      <c r="BO362" s="547"/>
      <c r="BP362" s="547"/>
      <c r="BQ362" s="547"/>
      <c r="BR362" s="547"/>
      <c r="BS362" s="547"/>
      <c r="BT362" s="547"/>
      <c r="BU362" s="547"/>
      <c r="BV362" s="547"/>
      <c r="BW362" s="547"/>
      <c r="BX362" s="547"/>
      <c r="BY362" s="547"/>
      <c r="BZ362" s="547"/>
      <c r="CA362" s="547"/>
      <c r="CB362" s="547"/>
      <c r="CC362" s="547"/>
    </row>
    <row r="363" spans="1:81">
      <c r="A363" s="547"/>
      <c r="B363" s="547"/>
      <c r="C363" s="547"/>
      <c r="D363" s="547"/>
      <c r="E363" s="547"/>
      <c r="F363" s="547"/>
      <c r="G363" s="547"/>
      <c r="H363" s="547"/>
      <c r="I363" s="547"/>
      <c r="J363" s="547"/>
      <c r="K363" s="547"/>
      <c r="L363" s="547"/>
      <c r="M363" s="547"/>
      <c r="N363" s="547"/>
      <c r="O363" s="547"/>
      <c r="P363" s="547"/>
      <c r="Q363" s="547"/>
      <c r="R363" s="547"/>
      <c r="S363" s="547"/>
      <c r="T363" s="547"/>
      <c r="U363" s="547"/>
      <c r="V363" s="547"/>
      <c r="W363" s="547"/>
      <c r="X363" s="547"/>
      <c r="Y363" s="547"/>
      <c r="Z363" s="547"/>
      <c r="AA363" s="547"/>
      <c r="AB363" s="547"/>
      <c r="AC363" s="547"/>
      <c r="AD363" s="547"/>
      <c r="AE363" s="547"/>
      <c r="AF363" s="547"/>
      <c r="AG363" s="547"/>
      <c r="AH363" s="547"/>
      <c r="AI363" s="547"/>
      <c r="AJ363" s="547"/>
      <c r="AK363" s="547"/>
      <c r="AL363" s="547"/>
      <c r="AM363" s="547"/>
      <c r="AN363" s="547"/>
      <c r="AO363" s="547"/>
      <c r="AP363" s="547"/>
      <c r="AQ363" s="547"/>
      <c r="AR363" s="547"/>
      <c r="AS363" s="547"/>
      <c r="AT363" s="547"/>
      <c r="AU363" s="547"/>
      <c r="AV363" s="547"/>
      <c r="AW363" s="547"/>
      <c r="AX363" s="547"/>
      <c r="AY363" s="547"/>
      <c r="AZ363" s="547"/>
      <c r="BA363" s="547"/>
      <c r="BB363" s="547"/>
      <c r="BC363" s="547"/>
      <c r="BD363" s="547"/>
      <c r="BE363" s="547"/>
      <c r="BF363" s="547"/>
      <c r="BG363" s="547"/>
      <c r="BH363" s="547"/>
      <c r="BI363" s="547"/>
      <c r="BJ363" s="547"/>
      <c r="BK363" s="547"/>
      <c r="BL363" s="547"/>
      <c r="BM363" s="547"/>
      <c r="BN363" s="547"/>
      <c r="BO363" s="547"/>
      <c r="BP363" s="547"/>
      <c r="BQ363" s="547"/>
      <c r="BR363" s="547"/>
      <c r="BS363" s="547"/>
      <c r="BT363" s="547"/>
      <c r="BU363" s="547"/>
      <c r="BV363" s="547"/>
      <c r="BW363" s="547"/>
      <c r="BX363" s="547"/>
      <c r="BY363" s="547"/>
      <c r="BZ363" s="547"/>
      <c r="CA363" s="547"/>
      <c r="CB363" s="547"/>
      <c r="CC363" s="547"/>
    </row>
    <row r="364" spans="1:81">
      <c r="A364" s="547"/>
      <c r="B364" s="547"/>
      <c r="C364" s="547"/>
      <c r="D364" s="547"/>
      <c r="E364" s="547"/>
      <c r="F364" s="547"/>
      <c r="G364" s="547"/>
      <c r="H364" s="547"/>
      <c r="I364" s="547"/>
      <c r="J364" s="547"/>
      <c r="K364" s="547"/>
      <c r="L364" s="547"/>
      <c r="M364" s="547"/>
      <c r="N364" s="547"/>
      <c r="O364" s="547"/>
      <c r="P364" s="547"/>
      <c r="Q364" s="547"/>
      <c r="R364" s="547"/>
      <c r="S364" s="547"/>
      <c r="T364" s="547"/>
      <c r="U364" s="547"/>
      <c r="V364" s="547"/>
      <c r="W364" s="547"/>
      <c r="X364" s="547"/>
      <c r="Y364" s="547"/>
      <c r="Z364" s="547"/>
      <c r="AA364" s="547"/>
      <c r="AB364" s="547"/>
      <c r="AC364" s="547"/>
      <c r="AD364" s="547"/>
      <c r="AE364" s="547"/>
      <c r="AF364" s="547"/>
      <c r="AG364" s="547"/>
      <c r="AH364" s="547"/>
      <c r="AI364" s="547"/>
      <c r="AJ364" s="547"/>
      <c r="AK364" s="547"/>
      <c r="AL364" s="547"/>
      <c r="AM364" s="547"/>
      <c r="AN364" s="547"/>
      <c r="AO364" s="547"/>
      <c r="AP364" s="547"/>
      <c r="AQ364" s="547"/>
      <c r="AR364" s="547"/>
      <c r="AS364" s="547"/>
      <c r="AT364" s="547"/>
      <c r="AU364" s="547"/>
      <c r="AV364" s="547"/>
      <c r="AW364" s="547"/>
      <c r="AX364" s="547"/>
      <c r="AY364" s="547"/>
      <c r="AZ364" s="547"/>
      <c r="BA364" s="547"/>
      <c r="BB364" s="547"/>
      <c r="BC364" s="547"/>
      <c r="BD364" s="547"/>
      <c r="BE364" s="547"/>
      <c r="BF364" s="547"/>
      <c r="BG364" s="547"/>
      <c r="BH364" s="547"/>
      <c r="BI364" s="547"/>
      <c r="BJ364" s="547"/>
      <c r="BK364" s="547"/>
      <c r="BL364" s="547"/>
      <c r="BM364" s="547"/>
      <c r="BN364" s="547"/>
      <c r="BO364" s="547"/>
      <c r="BP364" s="547"/>
      <c r="BQ364" s="547"/>
      <c r="BR364" s="547"/>
      <c r="BS364" s="547"/>
      <c r="BT364" s="547"/>
      <c r="BU364" s="547"/>
      <c r="BV364" s="547"/>
      <c r="BW364" s="547"/>
      <c r="BX364" s="547"/>
      <c r="BY364" s="547"/>
      <c r="BZ364" s="547"/>
      <c r="CA364" s="547"/>
      <c r="CB364" s="547"/>
      <c r="CC364" s="547"/>
    </row>
    <row r="365" spans="1:81">
      <c r="A365" s="547"/>
      <c r="B365" s="547"/>
      <c r="C365" s="547"/>
      <c r="D365" s="547"/>
      <c r="E365" s="547"/>
      <c r="F365" s="547"/>
      <c r="G365" s="547"/>
      <c r="H365" s="547"/>
      <c r="I365" s="547"/>
      <c r="J365" s="547"/>
      <c r="K365" s="547"/>
      <c r="L365" s="547"/>
      <c r="M365" s="547"/>
      <c r="N365" s="547"/>
      <c r="O365" s="547"/>
      <c r="P365" s="547"/>
      <c r="Q365" s="547"/>
      <c r="R365" s="547"/>
      <c r="S365" s="547"/>
      <c r="T365" s="547"/>
      <c r="U365" s="547"/>
      <c r="V365" s="547"/>
      <c r="W365" s="547"/>
      <c r="X365" s="547"/>
      <c r="Y365" s="547"/>
      <c r="Z365" s="547"/>
      <c r="AA365" s="547"/>
      <c r="AB365" s="547"/>
      <c r="AC365" s="547"/>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7"/>
      <c r="BQ365" s="547"/>
      <c r="BR365" s="547"/>
      <c r="BS365" s="547"/>
      <c r="BT365" s="547"/>
      <c r="BU365" s="547"/>
      <c r="BV365" s="547"/>
      <c r="BW365" s="547"/>
      <c r="BX365" s="547"/>
      <c r="BY365" s="547"/>
      <c r="BZ365" s="547"/>
      <c r="CA365" s="547"/>
      <c r="CB365" s="547"/>
      <c r="CC365" s="547"/>
    </row>
    <row r="366" spans="1:81">
      <c r="A366" s="547"/>
      <c r="B366" s="547"/>
      <c r="C366" s="547"/>
      <c r="D366" s="547"/>
      <c r="E366" s="547"/>
      <c r="F366" s="547"/>
      <c r="G366" s="547"/>
      <c r="H366" s="547"/>
      <c r="I366" s="547"/>
      <c r="J366" s="547"/>
      <c r="K366" s="547"/>
      <c r="L366" s="547"/>
      <c r="M366" s="547"/>
      <c r="N366" s="547"/>
      <c r="O366" s="547"/>
      <c r="P366" s="547"/>
      <c r="Q366" s="547"/>
      <c r="R366" s="547"/>
      <c r="S366" s="547"/>
      <c r="T366" s="547"/>
      <c r="U366" s="547"/>
      <c r="V366" s="547"/>
      <c r="W366" s="547"/>
      <c r="X366" s="547"/>
      <c r="Y366" s="547"/>
      <c r="Z366" s="547"/>
      <c r="AA366" s="547"/>
      <c r="AB366" s="547"/>
      <c r="AC366" s="547"/>
      <c r="AD366" s="547"/>
      <c r="AE366" s="547"/>
      <c r="AF366" s="547"/>
      <c r="AG366" s="547"/>
      <c r="AH366" s="547"/>
      <c r="AI366" s="547"/>
      <c r="AJ366" s="547"/>
      <c r="AK366" s="547"/>
      <c r="AL366" s="547"/>
      <c r="AM366" s="547"/>
      <c r="AN366" s="547"/>
      <c r="AO366" s="547"/>
      <c r="AP366" s="547"/>
      <c r="AQ366" s="547"/>
      <c r="AR366" s="547"/>
      <c r="AS366" s="547"/>
      <c r="AT366" s="547"/>
      <c r="AU366" s="547"/>
      <c r="AV366" s="547"/>
      <c r="AW366" s="547"/>
      <c r="AX366" s="547"/>
      <c r="AY366" s="547"/>
      <c r="AZ366" s="547"/>
      <c r="BA366" s="547"/>
      <c r="BB366" s="547"/>
      <c r="BC366" s="547"/>
      <c r="BD366" s="547"/>
      <c r="BE366" s="547"/>
      <c r="BF366" s="547"/>
      <c r="BG366" s="547"/>
      <c r="BH366" s="547"/>
      <c r="BI366" s="547"/>
      <c r="BJ366" s="547"/>
      <c r="BK366" s="547"/>
      <c r="BL366" s="547"/>
      <c r="BM366" s="547"/>
      <c r="BN366" s="547"/>
      <c r="BO366" s="547"/>
      <c r="BP366" s="547"/>
      <c r="BQ366" s="547"/>
      <c r="BR366" s="547"/>
      <c r="BS366" s="547"/>
      <c r="BT366" s="547"/>
      <c r="BU366" s="547"/>
      <c r="BV366" s="547"/>
      <c r="BW366" s="547"/>
      <c r="BX366" s="547"/>
      <c r="BY366" s="547"/>
      <c r="BZ366" s="547"/>
      <c r="CA366" s="547"/>
      <c r="CB366" s="547"/>
      <c r="CC366" s="547"/>
    </row>
    <row r="367" spans="1:81">
      <c r="A367" s="547"/>
      <c r="B367" s="547"/>
      <c r="C367" s="547"/>
      <c r="D367" s="547"/>
      <c r="E367" s="547"/>
      <c r="F367" s="547"/>
      <c r="G367" s="547"/>
      <c r="H367" s="547"/>
      <c r="I367" s="547"/>
      <c r="J367" s="547"/>
      <c r="K367" s="547"/>
      <c r="L367" s="547"/>
      <c r="M367" s="547"/>
      <c r="N367" s="547"/>
      <c r="O367" s="547"/>
      <c r="P367" s="547"/>
      <c r="Q367" s="547"/>
      <c r="R367" s="547"/>
      <c r="S367" s="547"/>
      <c r="T367" s="547"/>
      <c r="U367" s="547"/>
      <c r="V367" s="547"/>
      <c r="W367" s="547"/>
      <c r="X367" s="547"/>
      <c r="Y367" s="547"/>
      <c r="Z367" s="547"/>
      <c r="AA367" s="547"/>
      <c r="AB367" s="547"/>
      <c r="AC367" s="547"/>
      <c r="AD367" s="547"/>
      <c r="AE367" s="547"/>
      <c r="AF367" s="547"/>
      <c r="AG367" s="547"/>
      <c r="AH367" s="547"/>
      <c r="AI367" s="547"/>
      <c r="AJ367" s="547"/>
      <c r="AK367" s="547"/>
      <c r="AL367" s="547"/>
      <c r="AM367" s="547"/>
      <c r="AN367" s="547"/>
      <c r="AO367" s="547"/>
      <c r="AP367" s="547"/>
      <c r="AQ367" s="547"/>
      <c r="AR367" s="547"/>
      <c r="AS367" s="547"/>
      <c r="AT367" s="547"/>
      <c r="AU367" s="547"/>
      <c r="AV367" s="547"/>
      <c r="AW367" s="547"/>
      <c r="AX367" s="547"/>
      <c r="AY367" s="547"/>
      <c r="AZ367" s="547"/>
      <c r="BA367" s="547"/>
      <c r="BB367" s="547"/>
      <c r="BC367" s="547"/>
      <c r="BD367" s="547"/>
      <c r="BE367" s="547"/>
      <c r="BF367" s="547"/>
      <c r="BG367" s="547"/>
      <c r="BH367" s="547"/>
      <c r="BI367" s="547"/>
      <c r="BJ367" s="547"/>
      <c r="BK367" s="547"/>
      <c r="BL367" s="547"/>
      <c r="BM367" s="547"/>
      <c r="BN367" s="547"/>
      <c r="BO367" s="547"/>
      <c r="BP367" s="547"/>
      <c r="BQ367" s="547"/>
      <c r="BR367" s="547"/>
      <c r="BS367" s="547"/>
      <c r="BT367" s="547"/>
      <c r="BU367" s="547"/>
      <c r="BV367" s="547"/>
      <c r="BW367" s="547"/>
      <c r="BX367" s="547"/>
      <c r="BY367" s="547"/>
      <c r="BZ367" s="547"/>
      <c r="CA367" s="547"/>
      <c r="CB367" s="547"/>
      <c r="CC367" s="547"/>
    </row>
    <row r="368" spans="1:81">
      <c r="A368" s="547"/>
      <c r="B368" s="547"/>
      <c r="C368" s="547"/>
      <c r="D368" s="547"/>
      <c r="E368" s="547"/>
      <c r="F368" s="547"/>
      <c r="G368" s="547"/>
      <c r="H368" s="547"/>
      <c r="I368" s="547"/>
      <c r="J368" s="547"/>
      <c r="K368" s="547"/>
      <c r="L368" s="547"/>
      <c r="M368" s="547"/>
      <c r="N368" s="547"/>
      <c r="O368" s="547"/>
      <c r="P368" s="547"/>
      <c r="Q368" s="547"/>
      <c r="R368" s="547"/>
      <c r="S368" s="547"/>
      <c r="T368" s="547"/>
      <c r="U368" s="547"/>
      <c r="V368" s="547"/>
      <c r="W368" s="547"/>
      <c r="X368" s="547"/>
      <c r="Y368" s="547"/>
      <c r="Z368" s="547"/>
      <c r="AA368" s="547"/>
      <c r="AB368" s="547"/>
      <c r="AC368" s="547"/>
      <c r="AD368" s="547"/>
      <c r="AE368" s="547"/>
      <c r="AF368" s="547"/>
      <c r="AG368" s="547"/>
      <c r="AH368" s="547"/>
      <c r="AI368" s="547"/>
      <c r="AJ368" s="547"/>
      <c r="AK368" s="547"/>
      <c r="AL368" s="547"/>
      <c r="AM368" s="547"/>
      <c r="AN368" s="547"/>
      <c r="AO368" s="547"/>
      <c r="AP368" s="547"/>
      <c r="AQ368" s="547"/>
      <c r="AR368" s="547"/>
      <c r="AS368" s="547"/>
      <c r="AT368" s="547"/>
      <c r="AU368" s="547"/>
      <c r="AV368" s="547"/>
      <c r="AW368" s="547"/>
      <c r="AX368" s="547"/>
      <c r="AY368" s="547"/>
      <c r="AZ368" s="547"/>
      <c r="BA368" s="547"/>
      <c r="BB368" s="547"/>
      <c r="BC368" s="547"/>
      <c r="BD368" s="547"/>
      <c r="BE368" s="547"/>
      <c r="BF368" s="547"/>
      <c r="BG368" s="547"/>
      <c r="BH368" s="547"/>
      <c r="BI368" s="547"/>
      <c r="BJ368" s="547"/>
      <c r="BK368" s="547"/>
      <c r="BL368" s="547"/>
      <c r="BM368" s="547"/>
      <c r="BN368" s="547"/>
      <c r="BO368" s="547"/>
      <c r="BP368" s="547"/>
      <c r="BQ368" s="547"/>
      <c r="BR368" s="547"/>
      <c r="BS368" s="547"/>
      <c r="BT368" s="547"/>
      <c r="BU368" s="547"/>
      <c r="BV368" s="547"/>
      <c r="BW368" s="547"/>
      <c r="BX368" s="547"/>
      <c r="BY368" s="547"/>
      <c r="BZ368" s="547"/>
      <c r="CA368" s="547"/>
      <c r="CB368" s="547"/>
      <c r="CC368" s="547"/>
    </row>
    <row r="369" spans="1:81">
      <c r="A369" s="547"/>
      <c r="B369" s="547"/>
      <c r="C369" s="547"/>
      <c r="D369" s="547"/>
      <c r="E369" s="547"/>
      <c r="F369" s="547"/>
      <c r="G369" s="547"/>
      <c r="H369" s="547"/>
      <c r="I369" s="547"/>
      <c r="J369" s="547"/>
      <c r="K369" s="547"/>
      <c r="L369" s="547"/>
      <c r="M369" s="547"/>
      <c r="N369" s="547"/>
      <c r="O369" s="547"/>
      <c r="P369" s="547"/>
      <c r="Q369" s="547"/>
      <c r="R369" s="547"/>
      <c r="S369" s="547"/>
      <c r="T369" s="547"/>
      <c r="U369" s="547"/>
      <c r="V369" s="547"/>
      <c r="W369" s="547"/>
      <c r="X369" s="547"/>
      <c r="Y369" s="547"/>
      <c r="Z369" s="547"/>
      <c r="AA369" s="547"/>
      <c r="AB369" s="547"/>
      <c r="AC369" s="547"/>
      <c r="AD369" s="547"/>
      <c r="AE369" s="547"/>
      <c r="AF369" s="547"/>
      <c r="AG369" s="547"/>
      <c r="AH369" s="547"/>
      <c r="AI369" s="547"/>
      <c r="AJ369" s="547"/>
      <c r="AK369" s="547"/>
      <c r="AL369" s="547"/>
      <c r="AM369" s="547"/>
      <c r="AN369" s="547"/>
      <c r="AO369" s="547"/>
      <c r="AP369" s="547"/>
      <c r="AQ369" s="547"/>
      <c r="AR369" s="547"/>
      <c r="AS369" s="547"/>
      <c r="AT369" s="547"/>
      <c r="AU369" s="547"/>
      <c r="AV369" s="547"/>
      <c r="AW369" s="547"/>
      <c r="AX369" s="547"/>
      <c r="AY369" s="547"/>
      <c r="AZ369" s="547"/>
      <c r="BA369" s="547"/>
      <c r="BB369" s="547"/>
      <c r="BC369" s="547"/>
      <c r="BD369" s="547"/>
      <c r="BE369" s="547"/>
      <c r="BF369" s="547"/>
      <c r="BG369" s="547"/>
      <c r="BH369" s="547"/>
      <c r="BI369" s="547"/>
      <c r="BJ369" s="547"/>
      <c r="BK369" s="547"/>
      <c r="BL369" s="547"/>
      <c r="BM369" s="547"/>
      <c r="BN369" s="547"/>
      <c r="BO369" s="547"/>
      <c r="BP369" s="547"/>
      <c r="BQ369" s="547"/>
      <c r="BR369" s="547"/>
      <c r="BS369" s="547"/>
      <c r="BT369" s="547"/>
      <c r="BU369" s="547"/>
      <c r="BV369" s="547"/>
      <c r="BW369" s="547"/>
      <c r="BX369" s="547"/>
      <c r="BY369" s="547"/>
      <c r="BZ369" s="547"/>
      <c r="CA369" s="547"/>
      <c r="CB369" s="547"/>
      <c r="CC369" s="547"/>
    </row>
    <row r="370" spans="1:81">
      <c r="A370" s="547"/>
      <c r="B370" s="547"/>
      <c r="C370" s="547"/>
      <c r="D370" s="547"/>
      <c r="E370" s="547"/>
      <c r="F370" s="547"/>
      <c r="G370" s="547"/>
      <c r="H370" s="547"/>
      <c r="I370" s="547"/>
      <c r="J370" s="547"/>
      <c r="K370" s="547"/>
      <c r="L370" s="547"/>
      <c r="M370" s="547"/>
      <c r="N370" s="547"/>
      <c r="O370" s="547"/>
      <c r="P370" s="547"/>
      <c r="Q370" s="547"/>
      <c r="R370" s="547"/>
      <c r="S370" s="547"/>
      <c r="T370" s="547"/>
      <c r="U370" s="547"/>
      <c r="V370" s="547"/>
      <c r="W370" s="547"/>
      <c r="X370" s="547"/>
      <c r="Y370" s="547"/>
      <c r="Z370" s="547"/>
      <c r="AA370" s="547"/>
      <c r="AB370" s="547"/>
      <c r="AC370" s="547"/>
      <c r="AD370" s="547"/>
      <c r="AE370" s="547"/>
      <c r="AF370" s="547"/>
      <c r="AG370" s="547"/>
      <c r="AH370" s="547"/>
      <c r="AI370" s="547"/>
      <c r="AJ370" s="547"/>
      <c r="AK370" s="547"/>
      <c r="AL370" s="547"/>
      <c r="AM370" s="547"/>
      <c r="AN370" s="547"/>
      <c r="AO370" s="547"/>
      <c r="AP370" s="547"/>
      <c r="AQ370" s="547"/>
      <c r="AR370" s="547"/>
      <c r="AS370" s="547"/>
      <c r="AT370" s="547"/>
      <c r="AU370" s="547"/>
      <c r="AV370" s="547"/>
      <c r="AW370" s="547"/>
      <c r="AX370" s="547"/>
      <c r="AY370" s="547"/>
      <c r="AZ370" s="547"/>
      <c r="BA370" s="547"/>
      <c r="BB370" s="547"/>
      <c r="BC370" s="547"/>
      <c r="BD370" s="547"/>
      <c r="BE370" s="547"/>
      <c r="BF370" s="547"/>
      <c r="BG370" s="547"/>
      <c r="BH370" s="547"/>
      <c r="BI370" s="547"/>
      <c r="BJ370" s="547"/>
      <c r="BK370" s="547"/>
      <c r="BL370" s="547"/>
      <c r="BM370" s="547"/>
      <c r="BN370" s="547"/>
      <c r="BO370" s="547"/>
      <c r="BP370" s="547"/>
      <c r="BQ370" s="547"/>
      <c r="BR370" s="547"/>
      <c r="BS370" s="547"/>
      <c r="BT370" s="547"/>
      <c r="BU370" s="547"/>
      <c r="BV370" s="547"/>
      <c r="BW370" s="547"/>
      <c r="BX370" s="547"/>
      <c r="BY370" s="547"/>
      <c r="BZ370" s="547"/>
      <c r="CA370" s="547"/>
      <c r="CB370" s="547"/>
      <c r="CC370" s="547"/>
    </row>
    <row r="371" spans="1:81">
      <c r="A371" s="547"/>
      <c r="B371" s="547"/>
      <c r="C371" s="547"/>
      <c r="D371" s="547"/>
      <c r="E371" s="547"/>
      <c r="F371" s="547"/>
      <c r="G371" s="547"/>
      <c r="H371" s="547"/>
      <c r="I371" s="547"/>
      <c r="J371" s="547"/>
      <c r="K371" s="547"/>
      <c r="L371" s="547"/>
      <c r="M371" s="547"/>
      <c r="N371" s="547"/>
      <c r="O371" s="547"/>
      <c r="P371" s="547"/>
      <c r="Q371" s="547"/>
      <c r="R371" s="547"/>
      <c r="S371" s="547"/>
      <c r="T371" s="547"/>
      <c r="U371" s="547"/>
      <c r="V371" s="547"/>
      <c r="W371" s="547"/>
      <c r="X371" s="547"/>
      <c r="Y371" s="547"/>
      <c r="Z371" s="547"/>
      <c r="AA371" s="547"/>
      <c r="AB371" s="547"/>
      <c r="AC371" s="547"/>
      <c r="AD371" s="547"/>
      <c r="AE371" s="547"/>
      <c r="AF371" s="547"/>
      <c r="AG371" s="547"/>
      <c r="AH371" s="547"/>
      <c r="AI371" s="547"/>
      <c r="AJ371" s="547"/>
      <c r="AK371" s="547"/>
      <c r="AL371" s="547"/>
      <c r="AM371" s="547"/>
      <c r="AN371" s="547"/>
      <c r="AO371" s="547"/>
      <c r="AP371" s="547"/>
      <c r="AQ371" s="547"/>
      <c r="AR371" s="547"/>
      <c r="AS371" s="547"/>
      <c r="AT371" s="547"/>
      <c r="AU371" s="547"/>
      <c r="AV371" s="547"/>
      <c r="AW371" s="547"/>
      <c r="AX371" s="547"/>
      <c r="AY371" s="547"/>
      <c r="AZ371" s="547"/>
      <c r="BA371" s="547"/>
      <c r="BB371" s="547"/>
      <c r="BC371" s="547"/>
      <c r="BD371" s="547"/>
      <c r="BE371" s="547"/>
      <c r="BF371" s="547"/>
      <c r="BG371" s="547"/>
      <c r="BH371" s="547"/>
      <c r="BI371" s="547"/>
      <c r="BJ371" s="547"/>
      <c r="BK371" s="547"/>
      <c r="BL371" s="547"/>
      <c r="BM371" s="547"/>
      <c r="BN371" s="547"/>
      <c r="BO371" s="547"/>
      <c r="BP371" s="547"/>
      <c r="BQ371" s="547"/>
      <c r="BR371" s="547"/>
      <c r="BS371" s="547"/>
      <c r="BT371" s="547"/>
      <c r="BU371" s="547"/>
      <c r="BV371" s="547"/>
      <c r="BW371" s="547"/>
      <c r="BX371" s="547"/>
      <c r="BY371" s="547"/>
      <c r="BZ371" s="547"/>
      <c r="CA371" s="547"/>
      <c r="CB371" s="547"/>
      <c r="CC371" s="547"/>
    </row>
    <row r="372" spans="1:81">
      <c r="A372" s="547"/>
      <c r="B372" s="547"/>
      <c r="C372" s="547"/>
      <c r="D372" s="547"/>
      <c r="E372" s="547"/>
      <c r="F372" s="547"/>
      <c r="G372" s="547"/>
      <c r="H372" s="547"/>
      <c r="I372" s="547"/>
      <c r="J372" s="547"/>
      <c r="K372" s="547"/>
      <c r="L372" s="547"/>
      <c r="M372" s="547"/>
      <c r="N372" s="547"/>
      <c r="O372" s="547"/>
      <c r="P372" s="547"/>
      <c r="Q372" s="547"/>
      <c r="R372" s="547"/>
      <c r="S372" s="547"/>
      <c r="T372" s="547"/>
      <c r="U372" s="547"/>
      <c r="V372" s="547"/>
      <c r="W372" s="547"/>
      <c r="X372" s="547"/>
      <c r="Y372" s="547"/>
      <c r="Z372" s="547"/>
      <c r="AA372" s="547"/>
      <c r="AB372" s="547"/>
      <c r="AC372" s="547"/>
      <c r="AD372" s="547"/>
      <c r="AE372" s="547"/>
      <c r="AF372" s="547"/>
      <c r="AG372" s="547"/>
      <c r="AH372" s="547"/>
      <c r="AI372" s="547"/>
      <c r="AJ372" s="547"/>
      <c r="AK372" s="547"/>
      <c r="AL372" s="547"/>
      <c r="AM372" s="547"/>
      <c r="AN372" s="547"/>
      <c r="AO372" s="547"/>
      <c r="AP372" s="547"/>
      <c r="AQ372" s="547"/>
      <c r="AR372" s="547"/>
      <c r="AS372" s="547"/>
      <c r="AT372" s="547"/>
      <c r="AU372" s="547"/>
      <c r="AV372" s="547"/>
      <c r="AW372" s="547"/>
      <c r="AX372" s="547"/>
      <c r="AY372" s="547"/>
      <c r="AZ372" s="547"/>
      <c r="BA372" s="547"/>
      <c r="BB372" s="547"/>
      <c r="BC372" s="547"/>
      <c r="BD372" s="547"/>
      <c r="BE372" s="547"/>
      <c r="BF372" s="547"/>
      <c r="BG372" s="547"/>
      <c r="BH372" s="547"/>
      <c r="BI372" s="547"/>
      <c r="BJ372" s="547"/>
      <c r="BK372" s="547"/>
      <c r="BL372" s="547"/>
      <c r="BM372" s="547"/>
      <c r="BN372" s="547"/>
      <c r="BO372" s="547"/>
      <c r="BP372" s="547"/>
      <c r="BQ372" s="547"/>
      <c r="BR372" s="547"/>
      <c r="BS372" s="547"/>
      <c r="BT372" s="547"/>
      <c r="BU372" s="547"/>
      <c r="BV372" s="547"/>
      <c r="BW372" s="547"/>
      <c r="BX372" s="547"/>
      <c r="BY372" s="547"/>
      <c r="BZ372" s="547"/>
      <c r="CA372" s="547"/>
      <c r="CB372" s="547"/>
      <c r="CC372" s="547"/>
    </row>
    <row r="373" spans="1:81">
      <c r="A373" s="547"/>
      <c r="B373" s="547"/>
      <c r="C373" s="547"/>
      <c r="D373" s="547"/>
      <c r="E373" s="547"/>
      <c r="F373" s="547"/>
      <c r="G373" s="547"/>
      <c r="H373" s="547"/>
      <c r="I373" s="547"/>
      <c r="J373" s="547"/>
      <c r="K373" s="547"/>
      <c r="L373" s="547"/>
      <c r="M373" s="547"/>
      <c r="N373" s="547"/>
      <c r="O373" s="547"/>
      <c r="P373" s="547"/>
      <c r="Q373" s="547"/>
      <c r="R373" s="547"/>
      <c r="S373" s="547"/>
      <c r="T373" s="547"/>
      <c r="U373" s="547"/>
      <c r="V373" s="547"/>
      <c r="W373" s="547"/>
      <c r="X373" s="547"/>
      <c r="Y373" s="547"/>
      <c r="Z373" s="547"/>
      <c r="AA373" s="547"/>
      <c r="AB373" s="547"/>
      <c r="AC373" s="547"/>
      <c r="AD373" s="547"/>
      <c r="AE373" s="547"/>
      <c r="AF373" s="547"/>
      <c r="AG373" s="547"/>
      <c r="AH373" s="547"/>
      <c r="AI373" s="547"/>
      <c r="AJ373" s="547"/>
      <c r="AK373" s="547"/>
      <c r="AL373" s="547"/>
      <c r="AM373" s="547"/>
      <c r="AN373" s="547"/>
      <c r="AO373" s="547"/>
      <c r="AP373" s="547"/>
      <c r="AQ373" s="547"/>
      <c r="AR373" s="547"/>
      <c r="AS373" s="547"/>
      <c r="AT373" s="547"/>
      <c r="AU373" s="547"/>
      <c r="AV373" s="547"/>
      <c r="AW373" s="547"/>
      <c r="AX373" s="547"/>
      <c r="AY373" s="547"/>
      <c r="AZ373" s="547"/>
      <c r="BA373" s="547"/>
      <c r="BB373" s="547"/>
      <c r="BC373" s="547"/>
      <c r="BD373" s="547"/>
      <c r="BE373" s="547"/>
      <c r="BF373" s="547"/>
      <c r="BG373" s="547"/>
      <c r="BH373" s="547"/>
      <c r="BI373" s="547"/>
      <c r="BJ373" s="547"/>
      <c r="BK373" s="547"/>
      <c r="BL373" s="547"/>
      <c r="BM373" s="547"/>
      <c r="BN373" s="547"/>
      <c r="BO373" s="547"/>
      <c r="BP373" s="547"/>
      <c r="BQ373" s="547"/>
      <c r="BR373" s="547"/>
      <c r="BS373" s="547"/>
      <c r="BT373" s="547"/>
      <c r="BU373" s="547"/>
      <c r="BV373" s="547"/>
      <c r="BW373" s="547"/>
      <c r="BX373" s="547"/>
      <c r="BY373" s="547"/>
      <c r="BZ373" s="547"/>
      <c r="CA373" s="547"/>
      <c r="CB373" s="547"/>
      <c r="CC373" s="547"/>
    </row>
    <row r="374" spans="1:81">
      <c r="A374" s="547"/>
      <c r="B374" s="547"/>
      <c r="C374" s="547"/>
      <c r="D374" s="547"/>
      <c r="E374" s="547"/>
      <c r="F374" s="547"/>
      <c r="G374" s="547"/>
      <c r="H374" s="547"/>
      <c r="I374" s="547"/>
      <c r="J374" s="547"/>
      <c r="K374" s="547"/>
      <c r="L374" s="547"/>
      <c r="M374" s="547"/>
      <c r="N374" s="547"/>
      <c r="O374" s="547"/>
      <c r="P374" s="547"/>
      <c r="Q374" s="547"/>
      <c r="R374" s="547"/>
      <c r="S374" s="547"/>
      <c r="T374" s="547"/>
      <c r="U374" s="547"/>
      <c r="V374" s="547"/>
      <c r="W374" s="547"/>
      <c r="X374" s="547"/>
      <c r="Y374" s="547"/>
      <c r="Z374" s="547"/>
      <c r="AA374" s="547"/>
      <c r="AB374" s="547"/>
      <c r="AC374" s="547"/>
      <c r="AD374" s="547"/>
      <c r="AE374" s="547"/>
      <c r="AF374" s="547"/>
      <c r="AG374" s="547"/>
      <c r="AH374" s="547"/>
      <c r="AI374" s="547"/>
      <c r="AJ374" s="547"/>
      <c r="AK374" s="547"/>
      <c r="AL374" s="547"/>
      <c r="AM374" s="547"/>
      <c r="AN374" s="547"/>
      <c r="AO374" s="547"/>
      <c r="AP374" s="547"/>
      <c r="AQ374" s="547"/>
      <c r="AR374" s="547"/>
      <c r="AS374" s="547"/>
      <c r="AT374" s="547"/>
      <c r="AU374" s="547"/>
      <c r="AV374" s="547"/>
      <c r="AW374" s="547"/>
      <c r="AX374" s="547"/>
      <c r="AY374" s="547"/>
      <c r="AZ374" s="547"/>
      <c r="BA374" s="547"/>
      <c r="BB374" s="547"/>
      <c r="BC374" s="547"/>
      <c r="BD374" s="547"/>
      <c r="BE374" s="547"/>
      <c r="BF374" s="547"/>
      <c r="BG374" s="547"/>
      <c r="BH374" s="547"/>
      <c r="BI374" s="547"/>
      <c r="BJ374" s="547"/>
      <c r="BK374" s="547"/>
      <c r="BL374" s="547"/>
      <c r="BM374" s="547"/>
      <c r="BN374" s="547"/>
      <c r="BO374" s="547"/>
      <c r="BP374" s="547"/>
      <c r="BQ374" s="547"/>
      <c r="BR374" s="547"/>
      <c r="BS374" s="547"/>
      <c r="BT374" s="547"/>
      <c r="BU374" s="547"/>
      <c r="BV374" s="547"/>
      <c r="BW374" s="547"/>
      <c r="BX374" s="547"/>
      <c r="BY374" s="547"/>
      <c r="BZ374" s="547"/>
      <c r="CA374" s="547"/>
      <c r="CB374" s="547"/>
      <c r="CC374" s="547"/>
    </row>
    <row r="375" spans="1:81">
      <c r="A375" s="547"/>
      <c r="B375" s="547"/>
      <c r="C375" s="547"/>
      <c r="D375" s="547"/>
      <c r="E375" s="547"/>
      <c r="F375" s="547"/>
      <c r="G375" s="547"/>
      <c r="H375" s="547"/>
      <c r="I375" s="547"/>
      <c r="J375" s="547"/>
      <c r="K375" s="547"/>
      <c r="L375" s="547"/>
      <c r="M375" s="547"/>
      <c r="N375" s="547"/>
      <c r="O375" s="547"/>
      <c r="P375" s="547"/>
      <c r="Q375" s="547"/>
      <c r="R375" s="547"/>
      <c r="S375" s="547"/>
      <c r="T375" s="547"/>
      <c r="U375" s="547"/>
      <c r="V375" s="547"/>
      <c r="W375" s="547"/>
      <c r="X375" s="547"/>
      <c r="Y375" s="547"/>
      <c r="Z375" s="547"/>
      <c r="AA375" s="547"/>
      <c r="AB375" s="547"/>
      <c r="AC375" s="547"/>
      <c r="AD375" s="547"/>
      <c r="AE375" s="547"/>
      <c r="AF375" s="547"/>
      <c r="AG375" s="547"/>
      <c r="AH375" s="547"/>
      <c r="AI375" s="547"/>
      <c r="AJ375" s="547"/>
      <c r="AK375" s="547"/>
      <c r="AL375" s="547"/>
      <c r="AM375" s="547"/>
      <c r="AN375" s="547"/>
      <c r="AO375" s="547"/>
      <c r="AP375" s="547"/>
      <c r="AQ375" s="547"/>
      <c r="AR375" s="547"/>
      <c r="AS375" s="547"/>
      <c r="AT375" s="547"/>
      <c r="AU375" s="547"/>
      <c r="AV375" s="547"/>
      <c r="AW375" s="547"/>
      <c r="AX375" s="547"/>
      <c r="AY375" s="547"/>
      <c r="AZ375" s="547"/>
      <c r="BA375" s="547"/>
      <c r="BB375" s="547"/>
      <c r="BC375" s="547"/>
      <c r="BD375" s="547"/>
      <c r="BE375" s="547"/>
      <c r="BF375" s="547"/>
      <c r="BG375" s="547"/>
      <c r="BH375" s="547"/>
      <c r="BI375" s="547"/>
      <c r="BJ375" s="547"/>
      <c r="BK375" s="547"/>
      <c r="BL375" s="547"/>
      <c r="BM375" s="547"/>
      <c r="BN375" s="547"/>
      <c r="BO375" s="547"/>
      <c r="BP375" s="547"/>
      <c r="BQ375" s="547"/>
      <c r="BR375" s="547"/>
      <c r="BS375" s="547"/>
      <c r="BT375" s="547"/>
      <c r="BU375" s="547"/>
      <c r="BV375" s="547"/>
      <c r="BW375" s="547"/>
      <c r="BX375" s="547"/>
      <c r="BY375" s="547"/>
      <c r="BZ375" s="547"/>
      <c r="CA375" s="547"/>
      <c r="CB375" s="547"/>
      <c r="CC375" s="547"/>
    </row>
    <row r="376" spans="1:81">
      <c r="A376" s="547"/>
      <c r="B376" s="547"/>
      <c r="C376" s="547"/>
      <c r="D376" s="547"/>
      <c r="E376" s="547"/>
      <c r="F376" s="547"/>
      <c r="G376" s="547"/>
      <c r="H376" s="547"/>
      <c r="I376" s="547"/>
      <c r="J376" s="547"/>
      <c r="K376" s="547"/>
      <c r="L376" s="547"/>
      <c r="M376" s="547"/>
      <c r="N376" s="547"/>
      <c r="O376" s="547"/>
      <c r="P376" s="547"/>
      <c r="Q376" s="547"/>
      <c r="R376" s="547"/>
      <c r="S376" s="547"/>
      <c r="T376" s="547"/>
      <c r="U376" s="547"/>
      <c r="V376" s="547"/>
      <c r="W376" s="547"/>
      <c r="X376" s="547"/>
      <c r="Y376" s="547"/>
      <c r="Z376" s="547"/>
      <c r="AA376" s="547"/>
      <c r="AB376" s="547"/>
      <c r="AC376" s="547"/>
      <c r="AD376" s="547"/>
      <c r="AE376" s="547"/>
      <c r="AF376" s="547"/>
      <c r="AG376" s="547"/>
      <c r="AH376" s="547"/>
      <c r="AI376" s="547"/>
      <c r="AJ376" s="547"/>
      <c r="AK376" s="547"/>
      <c r="AL376" s="547"/>
      <c r="AM376" s="547"/>
      <c r="AN376" s="547"/>
      <c r="AO376" s="547"/>
      <c r="AP376" s="547"/>
      <c r="AQ376" s="547"/>
      <c r="AR376" s="547"/>
      <c r="AS376" s="547"/>
      <c r="AT376" s="547"/>
      <c r="AU376" s="547"/>
      <c r="AV376" s="547"/>
      <c r="AW376" s="547"/>
      <c r="AX376" s="547"/>
      <c r="AY376" s="547"/>
      <c r="AZ376" s="547"/>
      <c r="BA376" s="547"/>
      <c r="BB376" s="547"/>
      <c r="BC376" s="547"/>
      <c r="BD376" s="547"/>
      <c r="BE376" s="547"/>
      <c r="BF376" s="547"/>
      <c r="BG376" s="547"/>
      <c r="BH376" s="547"/>
      <c r="BI376" s="547"/>
      <c r="BJ376" s="547"/>
      <c r="BK376" s="547"/>
      <c r="BL376" s="547"/>
      <c r="BM376" s="547"/>
      <c r="BN376" s="547"/>
      <c r="BO376" s="547"/>
      <c r="BP376" s="547"/>
      <c r="BQ376" s="547"/>
      <c r="BR376" s="547"/>
      <c r="BS376" s="547"/>
      <c r="BT376" s="547"/>
      <c r="BU376" s="547"/>
      <c r="BV376" s="547"/>
      <c r="BW376" s="547"/>
      <c r="BX376" s="547"/>
      <c r="BY376" s="547"/>
      <c r="BZ376" s="547"/>
      <c r="CA376" s="547"/>
      <c r="CB376" s="547"/>
      <c r="CC376" s="547"/>
    </row>
    <row r="377" spans="1:81">
      <c r="A377" s="547"/>
      <c r="B377" s="547"/>
      <c r="C377" s="547"/>
      <c r="D377" s="547"/>
      <c r="E377" s="547"/>
      <c r="F377" s="547"/>
      <c r="G377" s="547"/>
      <c r="H377" s="547"/>
      <c r="I377" s="547"/>
      <c r="J377" s="547"/>
      <c r="K377" s="547"/>
      <c r="L377" s="547"/>
      <c r="M377" s="547"/>
      <c r="N377" s="547"/>
      <c r="O377" s="547"/>
      <c r="P377" s="547"/>
      <c r="Q377" s="547"/>
      <c r="R377" s="547"/>
      <c r="S377" s="547"/>
      <c r="T377" s="547"/>
      <c r="U377" s="547"/>
      <c r="V377" s="547"/>
      <c r="W377" s="547"/>
      <c r="X377" s="547"/>
      <c r="Y377" s="547"/>
      <c r="Z377" s="547"/>
      <c r="AA377" s="547"/>
      <c r="AB377" s="547"/>
      <c r="AC377" s="547"/>
      <c r="AD377" s="547"/>
      <c r="AE377" s="547"/>
      <c r="AF377" s="547"/>
      <c r="AG377" s="547"/>
      <c r="AH377" s="547"/>
      <c r="AI377" s="547"/>
      <c r="AJ377" s="547"/>
      <c r="AK377" s="547"/>
      <c r="AL377" s="547"/>
      <c r="AM377" s="547"/>
      <c r="AN377" s="547"/>
      <c r="AO377" s="547"/>
      <c r="AP377" s="547"/>
      <c r="AQ377" s="547"/>
      <c r="AR377" s="547"/>
      <c r="AS377" s="547"/>
      <c r="AT377" s="547"/>
      <c r="AU377" s="547"/>
      <c r="AV377" s="547"/>
      <c r="AW377" s="547"/>
      <c r="AX377" s="547"/>
      <c r="AY377" s="547"/>
      <c r="AZ377" s="547"/>
      <c r="BA377" s="547"/>
      <c r="BB377" s="547"/>
      <c r="BC377" s="547"/>
      <c r="BD377" s="547"/>
      <c r="BE377" s="547"/>
      <c r="BF377" s="547"/>
      <c r="BG377" s="547"/>
      <c r="BH377" s="547"/>
      <c r="BI377" s="547"/>
      <c r="BJ377" s="547"/>
      <c r="BK377" s="547"/>
      <c r="BL377" s="547"/>
      <c r="BM377" s="547"/>
      <c r="BN377" s="547"/>
      <c r="BO377" s="547"/>
      <c r="BP377" s="547"/>
      <c r="BQ377" s="547"/>
      <c r="BR377" s="547"/>
      <c r="BS377" s="547"/>
      <c r="BT377" s="547"/>
      <c r="BU377" s="547"/>
      <c r="BV377" s="547"/>
      <c r="BW377" s="547"/>
      <c r="BX377" s="547"/>
      <c r="BY377" s="547"/>
      <c r="BZ377" s="547"/>
      <c r="CA377" s="547"/>
      <c r="CB377" s="547"/>
      <c r="CC377" s="547"/>
    </row>
    <row r="378" spans="1:81">
      <c r="A378" s="547"/>
      <c r="B378" s="547"/>
      <c r="C378" s="547"/>
      <c r="D378" s="547"/>
      <c r="E378" s="547"/>
      <c r="F378" s="547"/>
      <c r="G378" s="547"/>
      <c r="H378" s="547"/>
      <c r="I378" s="547"/>
      <c r="J378" s="547"/>
      <c r="K378" s="547"/>
      <c r="L378" s="547"/>
      <c r="M378" s="547"/>
      <c r="N378" s="547"/>
      <c r="O378" s="547"/>
      <c r="P378" s="547"/>
      <c r="Q378" s="547"/>
      <c r="R378" s="547"/>
      <c r="S378" s="547"/>
      <c r="T378" s="547"/>
      <c r="U378" s="547"/>
      <c r="V378" s="547"/>
      <c r="W378" s="547"/>
      <c r="X378" s="547"/>
      <c r="Y378" s="547"/>
      <c r="Z378" s="547"/>
      <c r="AA378" s="547"/>
      <c r="AB378" s="547"/>
      <c r="AC378" s="547"/>
      <c r="AD378" s="547"/>
      <c r="AE378" s="547"/>
      <c r="AF378" s="547"/>
      <c r="AG378" s="547"/>
      <c r="AH378" s="547"/>
      <c r="AI378" s="547"/>
      <c r="AJ378" s="547"/>
      <c r="AK378" s="547"/>
      <c r="AL378" s="547"/>
      <c r="AM378" s="547"/>
      <c r="AN378" s="547"/>
      <c r="AO378" s="547"/>
      <c r="AP378" s="547"/>
      <c r="AQ378" s="547"/>
      <c r="AR378" s="547"/>
      <c r="AS378" s="547"/>
      <c r="AT378" s="547"/>
      <c r="AU378" s="547"/>
      <c r="AV378" s="547"/>
      <c r="AW378" s="547"/>
      <c r="AX378" s="547"/>
      <c r="AY378" s="547"/>
      <c r="AZ378" s="547"/>
      <c r="BA378" s="547"/>
      <c r="BB378" s="547"/>
      <c r="BC378" s="547"/>
      <c r="BD378" s="547"/>
      <c r="BE378" s="547"/>
      <c r="BF378" s="547"/>
      <c r="BG378" s="547"/>
      <c r="BH378" s="547"/>
      <c r="BI378" s="547"/>
      <c r="BJ378" s="547"/>
      <c r="BK378" s="547"/>
      <c r="BL378" s="547"/>
      <c r="BM378" s="547"/>
      <c r="BN378" s="547"/>
      <c r="BO378" s="547"/>
      <c r="BP378" s="547"/>
      <c r="BQ378" s="547"/>
      <c r="BR378" s="547"/>
      <c r="BS378" s="547"/>
      <c r="BT378" s="547"/>
      <c r="BU378" s="547"/>
      <c r="BV378" s="547"/>
      <c r="BW378" s="547"/>
      <c r="BX378" s="547"/>
      <c r="BY378" s="547"/>
      <c r="BZ378" s="547"/>
      <c r="CA378" s="547"/>
      <c r="CB378" s="547"/>
      <c r="CC378" s="547"/>
    </row>
    <row r="379" spans="1:81">
      <c r="A379" s="547"/>
      <c r="B379" s="547"/>
      <c r="C379" s="547"/>
      <c r="D379" s="547"/>
      <c r="E379" s="547"/>
      <c r="F379" s="547"/>
      <c r="G379" s="547"/>
      <c r="H379" s="547"/>
      <c r="I379" s="547"/>
      <c r="J379" s="547"/>
      <c r="K379" s="547"/>
      <c r="L379" s="547"/>
      <c r="M379" s="547"/>
      <c r="N379" s="547"/>
      <c r="O379" s="547"/>
      <c r="P379" s="547"/>
      <c r="Q379" s="547"/>
      <c r="R379" s="547"/>
      <c r="S379" s="547"/>
      <c r="T379" s="547"/>
      <c r="U379" s="547"/>
      <c r="V379" s="547"/>
      <c r="W379" s="547"/>
      <c r="X379" s="547"/>
      <c r="Y379" s="547"/>
      <c r="Z379" s="547"/>
      <c r="AA379" s="547"/>
      <c r="AB379" s="547"/>
      <c r="AC379" s="547"/>
      <c r="AD379" s="547"/>
      <c r="AE379" s="547"/>
      <c r="AF379" s="547"/>
      <c r="AG379" s="547"/>
      <c r="AH379" s="547"/>
      <c r="AI379" s="547"/>
      <c r="AJ379" s="547"/>
      <c r="AK379" s="547"/>
      <c r="AL379" s="547"/>
      <c r="AM379" s="547"/>
      <c r="AN379" s="547"/>
      <c r="AO379" s="547"/>
      <c r="AP379" s="547"/>
      <c r="AQ379" s="547"/>
      <c r="AR379" s="547"/>
      <c r="AS379" s="547"/>
      <c r="AT379" s="547"/>
      <c r="AU379" s="547"/>
      <c r="AV379" s="547"/>
      <c r="AW379" s="547"/>
      <c r="AX379" s="547"/>
      <c r="AY379" s="547"/>
      <c r="AZ379" s="547"/>
      <c r="BA379" s="547"/>
      <c r="BB379" s="547"/>
      <c r="BC379" s="547"/>
      <c r="BD379" s="547"/>
      <c r="BE379" s="547"/>
      <c r="BF379" s="547"/>
      <c r="BG379" s="547"/>
      <c r="BH379" s="547"/>
      <c r="BI379" s="547"/>
      <c r="BJ379" s="547"/>
      <c r="BK379" s="547"/>
      <c r="BL379" s="547"/>
      <c r="BM379" s="547"/>
      <c r="BN379" s="547"/>
      <c r="BO379" s="547"/>
      <c r="BP379" s="547"/>
      <c r="BQ379" s="547"/>
      <c r="BR379" s="547"/>
      <c r="BS379" s="547"/>
      <c r="BT379" s="547"/>
      <c r="BU379" s="547"/>
      <c r="BV379" s="547"/>
      <c r="BW379" s="547"/>
      <c r="BX379" s="547"/>
      <c r="BY379" s="547"/>
      <c r="BZ379" s="547"/>
      <c r="CA379" s="547"/>
      <c r="CB379" s="547"/>
      <c r="CC379" s="547"/>
    </row>
    <row r="380" spans="1:81">
      <c r="A380" s="547"/>
      <c r="B380" s="547"/>
      <c r="C380" s="547"/>
      <c r="D380" s="547"/>
      <c r="E380" s="547"/>
      <c r="F380" s="547"/>
      <c r="G380" s="547"/>
      <c r="H380" s="547"/>
      <c r="I380" s="547"/>
      <c r="J380" s="547"/>
      <c r="K380" s="547"/>
      <c r="L380" s="547"/>
      <c r="M380" s="547"/>
      <c r="N380" s="547"/>
      <c r="O380" s="547"/>
      <c r="P380" s="547"/>
      <c r="Q380" s="547"/>
      <c r="R380" s="547"/>
      <c r="S380" s="547"/>
      <c r="T380" s="547"/>
      <c r="U380" s="547"/>
      <c r="V380" s="547"/>
      <c r="W380" s="547"/>
      <c r="X380" s="547"/>
      <c r="Y380" s="547"/>
      <c r="Z380" s="547"/>
      <c r="AA380" s="547"/>
      <c r="AB380" s="547"/>
      <c r="AC380" s="547"/>
      <c r="AD380" s="547"/>
      <c r="AE380" s="547"/>
      <c r="AF380" s="547"/>
      <c r="AG380" s="547"/>
      <c r="AH380" s="547"/>
      <c r="AI380" s="547"/>
      <c r="AJ380" s="547"/>
      <c r="AK380" s="547"/>
      <c r="AL380" s="547"/>
      <c r="AM380" s="547"/>
      <c r="AN380" s="547"/>
      <c r="AO380" s="547"/>
      <c r="AP380" s="547"/>
      <c r="AQ380" s="547"/>
      <c r="AR380" s="547"/>
      <c r="AS380" s="547"/>
      <c r="AT380" s="547"/>
      <c r="AU380" s="547"/>
      <c r="AV380" s="547"/>
      <c r="AW380" s="547"/>
      <c r="AX380" s="547"/>
      <c r="AY380" s="547"/>
      <c r="AZ380" s="547"/>
      <c r="BA380" s="547"/>
      <c r="BB380" s="547"/>
      <c r="BC380" s="547"/>
      <c r="BD380" s="547"/>
      <c r="BE380" s="547"/>
      <c r="BF380" s="547"/>
      <c r="BG380" s="547"/>
      <c r="BH380" s="547"/>
      <c r="BI380" s="547"/>
      <c r="BJ380" s="547"/>
      <c r="BK380" s="547"/>
      <c r="BL380" s="547"/>
      <c r="BM380" s="547"/>
      <c r="BN380" s="547"/>
      <c r="BO380" s="547"/>
      <c r="BP380" s="547"/>
      <c r="BQ380" s="547"/>
      <c r="BR380" s="547"/>
      <c r="BS380" s="547"/>
      <c r="BT380" s="547"/>
      <c r="BU380" s="547"/>
      <c r="BV380" s="547"/>
      <c r="BW380" s="547"/>
      <c r="BX380" s="547"/>
      <c r="BY380" s="547"/>
      <c r="BZ380" s="547"/>
      <c r="CA380" s="547"/>
      <c r="CB380" s="547"/>
      <c r="CC380" s="547"/>
    </row>
    <row r="381" spans="1:81">
      <c r="A381" s="547"/>
      <c r="B381" s="547"/>
      <c r="C381" s="547"/>
      <c r="D381" s="547"/>
      <c r="E381" s="547"/>
      <c r="F381" s="547"/>
      <c r="G381" s="547"/>
      <c r="H381" s="547"/>
      <c r="I381" s="547"/>
      <c r="J381" s="547"/>
      <c r="K381" s="547"/>
      <c r="L381" s="547"/>
      <c r="M381" s="547"/>
      <c r="N381" s="547"/>
      <c r="O381" s="547"/>
      <c r="P381" s="547"/>
      <c r="Q381" s="547"/>
      <c r="R381" s="547"/>
      <c r="S381" s="547"/>
      <c r="T381" s="547"/>
      <c r="U381" s="547"/>
      <c r="V381" s="547"/>
      <c r="W381" s="547"/>
      <c r="X381" s="547"/>
      <c r="Y381" s="547"/>
      <c r="Z381" s="547"/>
      <c r="AA381" s="547"/>
      <c r="AB381" s="547"/>
      <c r="AC381" s="547"/>
      <c r="AD381" s="547"/>
      <c r="AE381" s="547"/>
      <c r="AF381" s="547"/>
      <c r="AG381" s="547"/>
      <c r="AH381" s="547"/>
      <c r="AI381" s="547"/>
      <c r="AJ381" s="547"/>
      <c r="AK381" s="547"/>
      <c r="AL381" s="547"/>
      <c r="AM381" s="547"/>
      <c r="AN381" s="547"/>
      <c r="AO381" s="547"/>
      <c r="AP381" s="547"/>
      <c r="AQ381" s="547"/>
      <c r="AR381" s="547"/>
      <c r="AS381" s="547"/>
      <c r="AT381" s="547"/>
      <c r="AU381" s="547"/>
      <c r="AV381" s="547"/>
      <c r="AW381" s="547"/>
      <c r="AX381" s="547"/>
      <c r="AY381" s="547"/>
      <c r="AZ381" s="547"/>
      <c r="BA381" s="547"/>
      <c r="BB381" s="547"/>
      <c r="BC381" s="547"/>
      <c r="BD381" s="547"/>
      <c r="BE381" s="547"/>
      <c r="BF381" s="547"/>
      <c r="BG381" s="547"/>
      <c r="BH381" s="547"/>
      <c r="BI381" s="547"/>
      <c r="BJ381" s="547"/>
      <c r="BK381" s="547"/>
      <c r="BL381" s="547"/>
      <c r="BM381" s="547"/>
      <c r="BN381" s="547"/>
      <c r="BO381" s="547"/>
      <c r="BP381" s="547"/>
      <c r="BQ381" s="547"/>
      <c r="BR381" s="547"/>
      <c r="BS381" s="547"/>
      <c r="BT381" s="547"/>
      <c r="BU381" s="547"/>
      <c r="BV381" s="547"/>
      <c r="BW381" s="547"/>
      <c r="BX381" s="547"/>
      <c r="BY381" s="547"/>
      <c r="BZ381" s="547"/>
      <c r="CA381" s="547"/>
      <c r="CB381" s="547"/>
      <c r="CC381" s="547"/>
    </row>
    <row r="382" spans="1:81">
      <c r="A382" s="547"/>
      <c r="B382" s="547"/>
      <c r="C382" s="547"/>
      <c r="D382" s="547"/>
      <c r="E382" s="547"/>
      <c r="F382" s="547"/>
      <c r="G382" s="547"/>
      <c r="H382" s="547"/>
      <c r="I382" s="547"/>
      <c r="J382" s="547"/>
      <c r="K382" s="547"/>
      <c r="L382" s="547"/>
      <c r="M382" s="547"/>
      <c r="N382" s="547"/>
      <c r="O382" s="547"/>
      <c r="P382" s="547"/>
      <c r="Q382" s="547"/>
      <c r="R382" s="547"/>
      <c r="S382" s="547"/>
      <c r="T382" s="547"/>
      <c r="U382" s="547"/>
      <c r="V382" s="547"/>
      <c r="W382" s="547"/>
      <c r="X382" s="547"/>
      <c r="Y382" s="547"/>
      <c r="Z382" s="547"/>
      <c r="AA382" s="547"/>
      <c r="AB382" s="547"/>
      <c r="AC382" s="547"/>
      <c r="AD382" s="547"/>
      <c r="AE382" s="547"/>
      <c r="AF382" s="547"/>
      <c r="AG382" s="547"/>
      <c r="AH382" s="547"/>
      <c r="AI382" s="547"/>
      <c r="AJ382" s="547"/>
      <c r="AK382" s="547"/>
      <c r="AL382" s="547"/>
      <c r="AM382" s="547"/>
      <c r="AN382" s="547"/>
      <c r="AO382" s="547"/>
      <c r="AP382" s="547"/>
      <c r="AQ382" s="547"/>
      <c r="AR382" s="547"/>
      <c r="AS382" s="547"/>
      <c r="AT382" s="547"/>
      <c r="AU382" s="547"/>
      <c r="AV382" s="547"/>
      <c r="AW382" s="547"/>
      <c r="AX382" s="547"/>
      <c r="AY382" s="547"/>
      <c r="AZ382" s="547"/>
      <c r="BA382" s="547"/>
      <c r="BB382" s="547"/>
      <c r="BC382" s="547"/>
      <c r="BD382" s="547"/>
      <c r="BE382" s="547"/>
      <c r="BF382" s="547"/>
      <c r="BG382" s="547"/>
      <c r="BH382" s="547"/>
      <c r="BI382" s="547"/>
      <c r="BJ382" s="547"/>
      <c r="BK382" s="547"/>
      <c r="BL382" s="547"/>
      <c r="BM382" s="547"/>
      <c r="BN382" s="547"/>
      <c r="BO382" s="547"/>
      <c r="BP382" s="547"/>
      <c r="BQ382" s="547"/>
      <c r="BR382" s="547"/>
      <c r="BS382" s="547"/>
      <c r="BT382" s="547"/>
      <c r="BU382" s="547"/>
      <c r="BV382" s="547"/>
      <c r="BW382" s="547"/>
      <c r="BX382" s="547"/>
      <c r="BY382" s="547"/>
      <c r="BZ382" s="547"/>
      <c r="CA382" s="547"/>
      <c r="CB382" s="547"/>
      <c r="CC382" s="547"/>
    </row>
    <row r="383" spans="1:81">
      <c r="A383" s="547"/>
      <c r="B383" s="547"/>
      <c r="C383" s="547"/>
      <c r="D383" s="547"/>
      <c r="E383" s="547"/>
      <c r="F383" s="547"/>
      <c r="G383" s="547"/>
      <c r="H383" s="547"/>
      <c r="I383" s="547"/>
      <c r="J383" s="547"/>
      <c r="K383" s="547"/>
      <c r="L383" s="547"/>
      <c r="M383" s="547"/>
      <c r="N383" s="547"/>
      <c r="O383" s="547"/>
      <c r="P383" s="547"/>
      <c r="Q383" s="547"/>
      <c r="R383" s="547"/>
      <c r="S383" s="547"/>
      <c r="T383" s="547"/>
      <c r="U383" s="547"/>
      <c r="V383" s="547"/>
      <c r="W383" s="547"/>
      <c r="X383" s="547"/>
      <c r="Y383" s="547"/>
      <c r="Z383" s="547"/>
      <c r="AA383" s="547"/>
      <c r="AB383" s="547"/>
      <c r="AC383" s="547"/>
      <c r="AD383" s="547"/>
      <c r="AE383" s="547"/>
      <c r="AF383" s="547"/>
      <c r="AG383" s="547"/>
      <c r="AH383" s="547"/>
      <c r="AI383" s="547"/>
      <c r="AJ383" s="547"/>
      <c r="AK383" s="547"/>
      <c r="AL383" s="547"/>
      <c r="AM383" s="547"/>
      <c r="AN383" s="547"/>
      <c r="AO383" s="547"/>
      <c r="AP383" s="547"/>
      <c r="AQ383" s="547"/>
      <c r="AR383" s="547"/>
      <c r="AS383" s="547"/>
      <c r="AT383" s="547"/>
      <c r="AU383" s="547"/>
      <c r="AV383" s="547"/>
      <c r="AW383" s="547"/>
      <c r="AX383" s="547"/>
      <c r="AY383" s="547"/>
      <c r="AZ383" s="547"/>
      <c r="BA383" s="547"/>
      <c r="BB383" s="547"/>
      <c r="BC383" s="547"/>
      <c r="BD383" s="547"/>
      <c r="BE383" s="547"/>
      <c r="BF383" s="547"/>
      <c r="BG383" s="547"/>
      <c r="BH383" s="547"/>
      <c r="BI383" s="547"/>
      <c r="BJ383" s="547"/>
      <c r="BK383" s="547"/>
      <c r="BL383" s="547"/>
      <c r="BM383" s="547"/>
      <c r="BN383" s="547"/>
      <c r="BO383" s="547"/>
      <c r="BP383" s="547"/>
      <c r="BQ383" s="547"/>
      <c r="BR383" s="547"/>
      <c r="BS383" s="547"/>
      <c r="BT383" s="547"/>
      <c r="BU383" s="547"/>
      <c r="BV383" s="547"/>
      <c r="BW383" s="547"/>
      <c r="BX383" s="547"/>
      <c r="BY383" s="547"/>
      <c r="BZ383" s="547"/>
      <c r="CA383" s="547"/>
      <c r="CB383" s="547"/>
      <c r="CC383" s="547"/>
    </row>
    <row r="384" spans="1:81">
      <c r="A384" s="547"/>
      <c r="B384" s="547"/>
      <c r="C384" s="547"/>
      <c r="D384" s="547"/>
      <c r="E384" s="547"/>
      <c r="F384" s="547"/>
      <c r="G384" s="547"/>
      <c r="H384" s="547"/>
      <c r="I384" s="547"/>
      <c r="J384" s="547"/>
      <c r="K384" s="547"/>
      <c r="L384" s="547"/>
      <c r="M384" s="547"/>
      <c r="N384" s="547"/>
      <c r="O384" s="547"/>
      <c r="P384" s="547"/>
      <c r="Q384" s="547"/>
      <c r="R384" s="547"/>
      <c r="S384" s="547"/>
      <c r="T384" s="547"/>
      <c r="U384" s="547"/>
      <c r="V384" s="547"/>
      <c r="W384" s="547"/>
      <c r="X384" s="547"/>
      <c r="Y384" s="547"/>
      <c r="Z384" s="547"/>
      <c r="AA384" s="547"/>
      <c r="AB384" s="547"/>
      <c r="AC384" s="547"/>
      <c r="AD384" s="547"/>
      <c r="AE384" s="547"/>
      <c r="AF384" s="547"/>
      <c r="AG384" s="547"/>
      <c r="AH384" s="547"/>
      <c r="AI384" s="547"/>
      <c r="AJ384" s="547"/>
      <c r="AK384" s="547"/>
      <c r="AL384" s="547"/>
      <c r="AM384" s="547"/>
      <c r="AN384" s="547"/>
      <c r="AO384" s="547"/>
      <c r="AP384" s="547"/>
      <c r="AQ384" s="547"/>
      <c r="AR384" s="547"/>
      <c r="AS384" s="547"/>
      <c r="AT384" s="547"/>
      <c r="AU384" s="547"/>
      <c r="AV384" s="547"/>
      <c r="AW384" s="547"/>
      <c r="AX384" s="547"/>
      <c r="AY384" s="547"/>
      <c r="AZ384" s="547"/>
      <c r="BA384" s="547"/>
      <c r="BB384" s="547"/>
      <c r="BC384" s="547"/>
      <c r="BD384" s="547"/>
      <c r="BE384" s="547"/>
      <c r="BF384" s="547"/>
      <c r="BG384" s="547"/>
      <c r="BH384" s="547"/>
      <c r="BI384" s="547"/>
      <c r="BJ384" s="547"/>
      <c r="BK384" s="547"/>
      <c r="BL384" s="547"/>
      <c r="BM384" s="547"/>
      <c r="BN384" s="547"/>
      <c r="BO384" s="547"/>
      <c r="BP384" s="547"/>
      <c r="BQ384" s="547"/>
      <c r="BR384" s="547"/>
      <c r="BS384" s="547"/>
      <c r="BT384" s="547"/>
      <c r="BU384" s="547"/>
      <c r="BV384" s="547"/>
      <c r="BW384" s="547"/>
      <c r="BX384" s="547"/>
      <c r="BY384" s="547"/>
      <c r="BZ384" s="547"/>
      <c r="CA384" s="547"/>
      <c r="CB384" s="547"/>
      <c r="CC384" s="547"/>
    </row>
    <row r="385" spans="1:81">
      <c r="A385" s="547"/>
      <c r="B385" s="547"/>
      <c r="C385" s="547"/>
      <c r="D385" s="547"/>
      <c r="E385" s="547"/>
      <c r="F385" s="547"/>
      <c r="G385" s="547"/>
      <c r="H385" s="547"/>
      <c r="I385" s="547"/>
      <c r="J385" s="547"/>
      <c r="K385" s="547"/>
      <c r="L385" s="547"/>
      <c r="M385" s="547"/>
      <c r="N385" s="547"/>
      <c r="O385" s="547"/>
      <c r="P385" s="547"/>
      <c r="Q385" s="547"/>
      <c r="R385" s="547"/>
      <c r="S385" s="547"/>
      <c r="T385" s="547"/>
      <c r="U385" s="547"/>
      <c r="V385" s="547"/>
      <c r="W385" s="547"/>
      <c r="X385" s="547"/>
      <c r="Y385" s="547"/>
      <c r="Z385" s="547"/>
      <c r="AA385" s="547"/>
      <c r="AB385" s="547"/>
      <c r="AC385" s="547"/>
      <c r="AD385" s="547"/>
      <c r="AE385" s="547"/>
      <c r="AF385" s="547"/>
      <c r="AG385" s="547"/>
      <c r="AH385" s="547"/>
      <c r="AI385" s="547"/>
      <c r="AJ385" s="547"/>
      <c r="AK385" s="547"/>
      <c r="AL385" s="547"/>
      <c r="AM385" s="547"/>
      <c r="AN385" s="547"/>
      <c r="AO385" s="547"/>
      <c r="AP385" s="547"/>
      <c r="AQ385" s="547"/>
      <c r="AR385" s="547"/>
      <c r="AS385" s="547"/>
      <c r="AT385" s="547"/>
      <c r="AU385" s="547"/>
      <c r="AV385" s="547"/>
      <c r="AW385" s="547"/>
      <c r="AX385" s="547"/>
      <c r="AY385" s="547"/>
      <c r="AZ385" s="547"/>
      <c r="BA385" s="547"/>
      <c r="BB385" s="547"/>
      <c r="BC385" s="547"/>
      <c r="BD385" s="547"/>
      <c r="BE385" s="547"/>
      <c r="BF385" s="547"/>
      <c r="BG385" s="547"/>
      <c r="BH385" s="547"/>
      <c r="BI385" s="547"/>
      <c r="BJ385" s="547"/>
      <c r="BK385" s="547"/>
      <c r="BL385" s="547"/>
      <c r="BM385" s="547"/>
      <c r="BN385" s="547"/>
      <c r="BO385" s="547"/>
      <c r="BP385" s="547"/>
      <c r="BQ385" s="547"/>
      <c r="BR385" s="547"/>
      <c r="BS385" s="547"/>
      <c r="BT385" s="547"/>
      <c r="BU385" s="547"/>
      <c r="BV385" s="547"/>
      <c r="BW385" s="547"/>
      <c r="BX385" s="547"/>
      <c r="BY385" s="547"/>
      <c r="BZ385" s="547"/>
      <c r="CA385" s="547"/>
      <c r="CB385" s="547"/>
      <c r="CC385" s="547"/>
    </row>
    <row r="386" spans="1:81">
      <c r="A386" s="547"/>
      <c r="B386" s="547"/>
      <c r="C386" s="547"/>
      <c r="D386" s="547"/>
      <c r="E386" s="547"/>
      <c r="F386" s="547"/>
      <c r="G386" s="547"/>
      <c r="H386" s="547"/>
      <c r="I386" s="547"/>
      <c r="J386" s="547"/>
      <c r="K386" s="547"/>
      <c r="L386" s="547"/>
      <c r="M386" s="547"/>
      <c r="N386" s="547"/>
      <c r="O386" s="547"/>
      <c r="P386" s="547"/>
      <c r="Q386" s="547"/>
      <c r="R386" s="547"/>
      <c r="S386" s="547"/>
      <c r="T386" s="547"/>
      <c r="U386" s="547"/>
      <c r="V386" s="547"/>
      <c r="W386" s="547"/>
      <c r="X386" s="547"/>
      <c r="Y386" s="547"/>
      <c r="Z386" s="547"/>
      <c r="AA386" s="547"/>
      <c r="AB386" s="547"/>
      <c r="AC386" s="547"/>
      <c r="AD386" s="547"/>
      <c r="AE386" s="547"/>
      <c r="AF386" s="547"/>
      <c r="AG386" s="547"/>
      <c r="AH386" s="547"/>
      <c r="AI386" s="547"/>
      <c r="AJ386" s="547"/>
      <c r="AK386" s="547"/>
      <c r="AL386" s="547"/>
      <c r="AM386" s="547"/>
      <c r="AN386" s="547"/>
      <c r="AO386" s="547"/>
      <c r="AP386" s="547"/>
      <c r="AQ386" s="547"/>
      <c r="AR386" s="547"/>
      <c r="AS386" s="547"/>
      <c r="AT386" s="547"/>
      <c r="AU386" s="547"/>
      <c r="AV386" s="547"/>
      <c r="AW386" s="547"/>
      <c r="AX386" s="547"/>
      <c r="AY386" s="547"/>
      <c r="AZ386" s="547"/>
      <c r="BA386" s="547"/>
      <c r="BB386" s="547"/>
      <c r="BC386" s="547"/>
      <c r="BD386" s="547"/>
      <c r="BE386" s="547"/>
      <c r="BF386" s="547"/>
      <c r="BG386" s="547"/>
      <c r="BH386" s="547"/>
      <c r="BI386" s="547"/>
      <c r="BJ386" s="547"/>
      <c r="BK386" s="547"/>
      <c r="BL386" s="547"/>
      <c r="BM386" s="547"/>
      <c r="BN386" s="547"/>
      <c r="BO386" s="547"/>
      <c r="BP386" s="547"/>
      <c r="BQ386" s="547"/>
      <c r="BR386" s="547"/>
      <c r="BS386" s="547"/>
      <c r="BT386" s="547"/>
      <c r="BU386" s="547"/>
      <c r="BV386" s="547"/>
      <c r="BW386" s="547"/>
      <c r="BX386" s="547"/>
      <c r="BY386" s="547"/>
      <c r="BZ386" s="547"/>
      <c r="CA386" s="547"/>
      <c r="CB386" s="547"/>
      <c r="CC386" s="547"/>
    </row>
    <row r="387" spans="1:81">
      <c r="A387" s="547"/>
      <c r="B387" s="547"/>
      <c r="C387" s="547"/>
      <c r="D387" s="547"/>
      <c r="E387" s="547"/>
      <c r="F387" s="547"/>
      <c r="G387" s="547"/>
      <c r="H387" s="547"/>
      <c r="I387" s="547"/>
      <c r="J387" s="547"/>
      <c r="K387" s="547"/>
      <c r="L387" s="547"/>
      <c r="M387" s="547"/>
      <c r="N387" s="547"/>
      <c r="O387" s="547"/>
      <c r="P387" s="547"/>
      <c r="Q387" s="547"/>
      <c r="R387" s="547"/>
      <c r="S387" s="547"/>
      <c r="T387" s="547"/>
      <c r="U387" s="547"/>
      <c r="V387" s="547"/>
      <c r="W387" s="547"/>
      <c r="X387" s="547"/>
      <c r="Y387" s="547"/>
      <c r="Z387" s="547"/>
      <c r="AA387" s="547"/>
      <c r="AB387" s="547"/>
      <c r="AC387" s="547"/>
      <c r="AD387" s="547"/>
      <c r="AE387" s="547"/>
      <c r="AF387" s="547"/>
      <c r="AG387" s="547"/>
      <c r="AH387" s="547"/>
      <c r="AI387" s="547"/>
      <c r="AJ387" s="547"/>
      <c r="AK387" s="547"/>
      <c r="AL387" s="547"/>
      <c r="AM387" s="547"/>
      <c r="AN387" s="547"/>
      <c r="AO387" s="547"/>
      <c r="AP387" s="547"/>
      <c r="AQ387" s="547"/>
      <c r="AR387" s="547"/>
      <c r="AS387" s="547"/>
      <c r="AT387" s="547"/>
      <c r="AU387" s="547"/>
      <c r="AV387" s="547"/>
      <c r="AW387" s="547"/>
      <c r="AX387" s="547"/>
      <c r="AY387" s="547"/>
      <c r="AZ387" s="547"/>
      <c r="BA387" s="547"/>
      <c r="BB387" s="547"/>
      <c r="BC387" s="547"/>
      <c r="BD387" s="547"/>
      <c r="BE387" s="547"/>
      <c r="BF387" s="547"/>
      <c r="BG387" s="547"/>
      <c r="BH387" s="547"/>
      <c r="BI387" s="547"/>
      <c r="BJ387" s="547"/>
      <c r="BK387" s="547"/>
      <c r="BL387" s="547"/>
      <c r="BM387" s="547"/>
      <c r="BN387" s="547"/>
      <c r="BO387" s="547"/>
      <c r="BP387" s="547"/>
      <c r="BQ387" s="547"/>
      <c r="BR387" s="547"/>
      <c r="BS387" s="547"/>
      <c r="BT387" s="547"/>
      <c r="BU387" s="547"/>
      <c r="BV387" s="547"/>
      <c r="BW387" s="547"/>
      <c r="BX387" s="547"/>
      <c r="BY387" s="547"/>
      <c r="BZ387" s="547"/>
      <c r="CA387" s="547"/>
      <c r="CB387" s="547"/>
      <c r="CC387" s="547"/>
    </row>
    <row r="388" spans="1:81">
      <c r="A388" s="547"/>
      <c r="B388" s="547"/>
      <c r="C388" s="547"/>
      <c r="D388" s="547"/>
      <c r="E388" s="547"/>
      <c r="F388" s="547"/>
      <c r="G388" s="547"/>
      <c r="H388" s="547"/>
      <c r="I388" s="547"/>
      <c r="J388" s="547"/>
      <c r="K388" s="547"/>
      <c r="L388" s="547"/>
      <c r="M388" s="547"/>
      <c r="N388" s="547"/>
      <c r="O388" s="547"/>
      <c r="P388" s="547"/>
      <c r="Q388" s="547"/>
      <c r="R388" s="547"/>
      <c r="S388" s="547"/>
      <c r="T388" s="547"/>
      <c r="U388" s="547"/>
      <c r="V388" s="547"/>
      <c r="W388" s="547"/>
      <c r="X388" s="547"/>
      <c r="Y388" s="547"/>
      <c r="Z388" s="547"/>
      <c r="AA388" s="547"/>
      <c r="AB388" s="547"/>
      <c r="AC388" s="547"/>
      <c r="AD388" s="547"/>
      <c r="AE388" s="547"/>
      <c r="AF388" s="547"/>
      <c r="AG388" s="547"/>
      <c r="AH388" s="547"/>
      <c r="AI388" s="547"/>
      <c r="AJ388" s="547"/>
      <c r="AK388" s="547"/>
      <c r="AL388" s="547"/>
      <c r="AM388" s="547"/>
      <c r="AN388" s="547"/>
      <c r="AO388" s="547"/>
      <c r="AP388" s="547"/>
      <c r="AQ388" s="547"/>
      <c r="AR388" s="547"/>
      <c r="AS388" s="547"/>
      <c r="AT388" s="547"/>
      <c r="AU388" s="547"/>
      <c r="AV388" s="547"/>
      <c r="AW388" s="547"/>
      <c r="AX388" s="547"/>
      <c r="AY388" s="547"/>
      <c r="AZ388" s="547"/>
      <c r="BA388" s="547"/>
      <c r="BB388" s="547"/>
      <c r="BC388" s="547"/>
      <c r="BD388" s="547"/>
      <c r="BE388" s="547"/>
      <c r="BF388" s="547"/>
      <c r="BG388" s="547"/>
      <c r="BH388" s="547"/>
      <c r="BI388" s="547"/>
      <c r="BJ388" s="547"/>
      <c r="BK388" s="547"/>
      <c r="BL388" s="547"/>
      <c r="BM388" s="547"/>
      <c r="BN388" s="547"/>
      <c r="BO388" s="547"/>
      <c r="BP388" s="547"/>
      <c r="BQ388" s="547"/>
      <c r="BR388" s="547"/>
      <c r="BS388" s="547"/>
      <c r="BT388" s="547"/>
      <c r="BU388" s="547"/>
      <c r="BV388" s="547"/>
      <c r="BW388" s="547"/>
      <c r="BX388" s="547"/>
      <c r="BY388" s="547"/>
      <c r="BZ388" s="547"/>
      <c r="CA388" s="547"/>
      <c r="CB388" s="547"/>
      <c r="CC388" s="547"/>
    </row>
    <row r="389" spans="1:81">
      <c r="A389" s="547"/>
      <c r="B389" s="547"/>
      <c r="C389" s="547"/>
      <c r="D389" s="547"/>
      <c r="E389" s="547"/>
      <c r="F389" s="547"/>
      <c r="G389" s="547"/>
      <c r="H389" s="547"/>
      <c r="I389" s="547"/>
      <c r="J389" s="547"/>
      <c r="K389" s="547"/>
      <c r="L389" s="547"/>
      <c r="M389" s="547"/>
      <c r="N389" s="547"/>
      <c r="O389" s="547"/>
      <c r="P389" s="547"/>
      <c r="Q389" s="547"/>
      <c r="R389" s="547"/>
      <c r="S389" s="547"/>
      <c r="T389" s="547"/>
      <c r="U389" s="547"/>
      <c r="V389" s="547"/>
      <c r="W389" s="547"/>
      <c r="X389" s="547"/>
      <c r="Y389" s="547"/>
      <c r="Z389" s="547"/>
      <c r="AA389" s="547"/>
      <c r="AB389" s="547"/>
      <c r="AC389" s="547"/>
      <c r="AD389" s="547"/>
      <c r="AE389" s="547"/>
      <c r="AF389" s="547"/>
      <c r="AG389" s="547"/>
      <c r="AH389" s="547"/>
      <c r="AI389" s="547"/>
      <c r="AJ389" s="547"/>
      <c r="AK389" s="547"/>
      <c r="AL389" s="547"/>
      <c r="AM389" s="547"/>
      <c r="AN389" s="547"/>
      <c r="AO389" s="547"/>
      <c r="AP389" s="547"/>
      <c r="AQ389" s="547"/>
      <c r="AR389" s="547"/>
      <c r="AS389" s="547"/>
      <c r="AT389" s="547"/>
      <c r="AU389" s="547"/>
      <c r="AV389" s="547"/>
      <c r="AW389" s="547"/>
      <c r="AX389" s="547"/>
      <c r="AY389" s="547"/>
      <c r="AZ389" s="547"/>
      <c r="BA389" s="547"/>
      <c r="BB389" s="547"/>
      <c r="BC389" s="547"/>
      <c r="BD389" s="547"/>
      <c r="BE389" s="547"/>
      <c r="BF389" s="547"/>
      <c r="BG389" s="547"/>
      <c r="BH389" s="547"/>
      <c r="BI389" s="547"/>
      <c r="BJ389" s="547"/>
      <c r="BK389" s="547"/>
      <c r="BL389" s="547"/>
      <c r="BM389" s="547"/>
      <c r="BN389" s="547"/>
      <c r="BO389" s="547"/>
      <c r="BP389" s="547"/>
      <c r="BQ389" s="547"/>
      <c r="BR389" s="547"/>
      <c r="BS389" s="547"/>
      <c r="BT389" s="547"/>
      <c r="BU389" s="547"/>
      <c r="BV389" s="547"/>
      <c r="BW389" s="547"/>
      <c r="BX389" s="547"/>
      <c r="BY389" s="547"/>
      <c r="BZ389" s="547"/>
      <c r="CA389" s="547"/>
      <c r="CB389" s="547"/>
      <c r="CC389" s="547"/>
    </row>
    <row r="390" spans="1:81">
      <c r="A390" s="547"/>
      <c r="B390" s="547"/>
      <c r="C390" s="547"/>
      <c r="D390" s="547"/>
      <c r="E390" s="547"/>
      <c r="F390" s="547"/>
      <c r="G390" s="547"/>
      <c r="H390" s="547"/>
      <c r="I390" s="547"/>
      <c r="J390" s="547"/>
      <c r="K390" s="547"/>
      <c r="L390" s="547"/>
      <c r="M390" s="547"/>
      <c r="N390" s="547"/>
      <c r="O390" s="547"/>
      <c r="P390" s="547"/>
      <c r="Q390" s="547"/>
      <c r="R390" s="547"/>
      <c r="S390" s="547"/>
      <c r="T390" s="547"/>
      <c r="U390" s="547"/>
      <c r="V390" s="547"/>
      <c r="W390" s="547"/>
      <c r="X390" s="547"/>
      <c r="Y390" s="547"/>
      <c r="Z390" s="547"/>
      <c r="AA390" s="547"/>
      <c r="AB390" s="547"/>
      <c r="AC390" s="547"/>
      <c r="AD390" s="547"/>
      <c r="AE390" s="547"/>
      <c r="AF390" s="547"/>
      <c r="AG390" s="547"/>
      <c r="AH390" s="547"/>
      <c r="AI390" s="547"/>
      <c r="AJ390" s="547"/>
      <c r="AK390" s="547"/>
      <c r="AL390" s="547"/>
      <c r="AM390" s="547"/>
      <c r="AN390" s="547"/>
      <c r="AO390" s="547"/>
      <c r="AP390" s="547"/>
      <c r="AQ390" s="547"/>
      <c r="AR390" s="547"/>
      <c r="AS390" s="547"/>
      <c r="AT390" s="547"/>
      <c r="AU390" s="547"/>
      <c r="AV390" s="547"/>
      <c r="AW390" s="547"/>
      <c r="AX390" s="547"/>
      <c r="AY390" s="547"/>
      <c r="AZ390" s="547"/>
      <c r="BA390" s="547"/>
      <c r="BB390" s="547"/>
      <c r="BC390" s="547"/>
      <c r="BD390" s="547"/>
      <c r="BE390" s="547"/>
      <c r="BF390" s="547"/>
      <c r="BG390" s="547"/>
      <c r="BH390" s="547"/>
      <c r="BI390" s="547"/>
      <c r="BJ390" s="547"/>
      <c r="BK390" s="547"/>
      <c r="BL390" s="547"/>
      <c r="BM390" s="547"/>
      <c r="BN390" s="547"/>
      <c r="BO390" s="547"/>
      <c r="BP390" s="547"/>
      <c r="BQ390" s="547"/>
      <c r="BR390" s="547"/>
      <c r="BS390" s="547"/>
      <c r="BT390" s="547"/>
      <c r="BU390" s="547"/>
      <c r="BV390" s="547"/>
      <c r="BW390" s="547"/>
      <c r="BX390" s="547"/>
      <c r="BY390" s="547"/>
      <c r="BZ390" s="547"/>
      <c r="CA390" s="547"/>
      <c r="CB390" s="547"/>
      <c r="CC390" s="547"/>
    </row>
    <row r="391" spans="1:81">
      <c r="A391" s="547"/>
      <c r="B391" s="547"/>
      <c r="C391" s="547"/>
      <c r="D391" s="547"/>
      <c r="E391" s="547"/>
      <c r="F391" s="547"/>
      <c r="G391" s="547"/>
      <c r="H391" s="547"/>
      <c r="I391" s="547"/>
      <c r="J391" s="547"/>
      <c r="K391" s="547"/>
      <c r="L391" s="547"/>
      <c r="M391" s="547"/>
      <c r="N391" s="547"/>
      <c r="O391" s="547"/>
      <c r="P391" s="547"/>
      <c r="Q391" s="547"/>
      <c r="R391" s="547"/>
      <c r="S391" s="547"/>
      <c r="T391" s="547"/>
      <c r="U391" s="547"/>
      <c r="V391" s="547"/>
      <c r="W391" s="547"/>
      <c r="X391" s="547"/>
      <c r="Y391" s="547"/>
      <c r="Z391" s="547"/>
      <c r="AA391" s="547"/>
      <c r="AB391" s="547"/>
      <c r="AC391" s="547"/>
      <c r="AD391" s="547"/>
      <c r="AE391" s="547"/>
      <c r="AF391" s="547"/>
      <c r="AG391" s="547"/>
      <c r="AH391" s="547"/>
      <c r="AI391" s="547"/>
      <c r="AJ391" s="547"/>
      <c r="AK391" s="547"/>
      <c r="AL391" s="547"/>
      <c r="AM391" s="547"/>
      <c r="AN391" s="547"/>
      <c r="AO391" s="547"/>
      <c r="AP391" s="547"/>
      <c r="AQ391" s="547"/>
      <c r="AR391" s="547"/>
      <c r="AS391" s="547"/>
      <c r="AT391" s="547"/>
      <c r="AU391" s="547"/>
      <c r="AV391" s="547"/>
      <c r="AW391" s="547"/>
      <c r="AX391" s="547"/>
      <c r="AY391" s="547"/>
      <c r="AZ391" s="547"/>
      <c r="BA391" s="547"/>
      <c r="BB391" s="547"/>
      <c r="BC391" s="547"/>
      <c r="BD391" s="547"/>
      <c r="BE391" s="547"/>
      <c r="BF391" s="547"/>
      <c r="BG391" s="547"/>
      <c r="BH391" s="547"/>
      <c r="BI391" s="547"/>
      <c r="BJ391" s="547"/>
      <c r="BK391" s="547"/>
      <c r="BL391" s="547"/>
      <c r="BM391" s="547"/>
      <c r="BN391" s="547"/>
      <c r="BO391" s="547"/>
      <c r="BP391" s="547"/>
      <c r="BQ391" s="547"/>
      <c r="BR391" s="547"/>
      <c r="BS391" s="547"/>
      <c r="BT391" s="547"/>
      <c r="BU391" s="547"/>
      <c r="BV391" s="547"/>
      <c r="BW391" s="547"/>
      <c r="BX391" s="547"/>
      <c r="BY391" s="547"/>
      <c r="BZ391" s="547"/>
      <c r="CA391" s="547"/>
      <c r="CB391" s="547"/>
      <c r="CC391" s="547"/>
    </row>
    <row r="392" spans="1:81">
      <c r="A392" s="547"/>
      <c r="B392" s="547"/>
      <c r="C392" s="547"/>
      <c r="D392" s="547"/>
      <c r="E392" s="547"/>
      <c r="F392" s="547"/>
      <c r="G392" s="547"/>
      <c r="H392" s="547"/>
      <c r="I392" s="547"/>
      <c r="J392" s="547"/>
      <c r="K392" s="547"/>
      <c r="L392" s="547"/>
      <c r="M392" s="547"/>
      <c r="N392" s="547"/>
      <c r="O392" s="547"/>
      <c r="P392" s="547"/>
      <c r="Q392" s="547"/>
      <c r="R392" s="547"/>
      <c r="S392" s="547"/>
      <c r="T392" s="547"/>
      <c r="U392" s="547"/>
      <c r="V392" s="547"/>
      <c r="W392" s="547"/>
      <c r="X392" s="547"/>
      <c r="Y392" s="547"/>
      <c r="Z392" s="547"/>
      <c r="AA392" s="547"/>
      <c r="AB392" s="547"/>
      <c r="AC392" s="547"/>
      <c r="AD392" s="547"/>
      <c r="AE392" s="547"/>
      <c r="AF392" s="547"/>
      <c r="AG392" s="547"/>
      <c r="AH392" s="547"/>
      <c r="AI392" s="547"/>
      <c r="AJ392" s="547"/>
      <c r="AK392" s="547"/>
      <c r="AL392" s="547"/>
      <c r="AM392" s="547"/>
      <c r="AN392" s="547"/>
      <c r="AO392" s="547"/>
      <c r="AP392" s="547"/>
      <c r="AQ392" s="547"/>
      <c r="AR392" s="547"/>
      <c r="AS392" s="547"/>
      <c r="AT392" s="547"/>
      <c r="AU392" s="547"/>
      <c r="AV392" s="547"/>
      <c r="AW392" s="547"/>
      <c r="AX392" s="547"/>
      <c r="AY392" s="547"/>
      <c r="AZ392" s="547"/>
      <c r="BA392" s="547"/>
      <c r="BB392" s="547"/>
      <c r="BC392" s="547"/>
      <c r="BD392" s="547"/>
      <c r="BE392" s="547"/>
      <c r="BF392" s="547"/>
      <c r="BG392" s="547"/>
      <c r="BH392" s="547"/>
      <c r="BI392" s="547"/>
      <c r="BJ392" s="547"/>
      <c r="BK392" s="547"/>
      <c r="BL392" s="547"/>
      <c r="BM392" s="547"/>
      <c r="BN392" s="547"/>
      <c r="BO392" s="547"/>
      <c r="BP392" s="547"/>
      <c r="BQ392" s="547"/>
      <c r="BR392" s="547"/>
      <c r="BS392" s="547"/>
      <c r="BT392" s="547"/>
      <c r="BU392" s="547"/>
      <c r="BV392" s="547"/>
      <c r="BW392" s="547"/>
      <c r="BX392" s="547"/>
      <c r="BY392" s="547"/>
      <c r="BZ392" s="547"/>
      <c r="CA392" s="547"/>
      <c r="CB392" s="547"/>
      <c r="CC392" s="547"/>
    </row>
    <row r="393" spans="1:81">
      <c r="A393" s="547"/>
      <c r="B393" s="547"/>
      <c r="C393" s="547"/>
      <c r="D393" s="547"/>
      <c r="E393" s="547"/>
      <c r="F393" s="547"/>
      <c r="G393" s="547"/>
      <c r="H393" s="547"/>
      <c r="I393" s="547"/>
      <c r="J393" s="547"/>
      <c r="K393" s="547"/>
      <c r="L393" s="547"/>
      <c r="M393" s="547"/>
      <c r="N393" s="547"/>
      <c r="O393" s="547"/>
      <c r="P393" s="547"/>
      <c r="Q393" s="547"/>
      <c r="R393" s="547"/>
      <c r="S393" s="547"/>
      <c r="T393" s="547"/>
      <c r="U393" s="547"/>
      <c r="V393" s="547"/>
      <c r="W393" s="547"/>
      <c r="X393" s="547"/>
      <c r="Y393" s="547"/>
      <c r="Z393" s="547"/>
      <c r="AA393" s="547"/>
      <c r="AB393" s="547"/>
      <c r="AC393" s="547"/>
      <c r="AD393" s="547"/>
      <c r="AE393" s="547"/>
      <c r="AF393" s="547"/>
      <c r="AG393" s="547"/>
      <c r="AH393" s="547"/>
      <c r="AI393" s="547"/>
      <c r="AJ393" s="547"/>
      <c r="AK393" s="547"/>
      <c r="AL393" s="547"/>
      <c r="AM393" s="547"/>
      <c r="AN393" s="547"/>
      <c r="AO393" s="547"/>
      <c r="AP393" s="547"/>
      <c r="AQ393" s="547"/>
      <c r="AR393" s="547"/>
      <c r="AS393" s="547"/>
      <c r="AT393" s="547"/>
      <c r="AU393" s="547"/>
      <c r="AV393" s="547"/>
      <c r="AW393" s="547"/>
      <c r="AX393" s="547"/>
      <c r="AY393" s="547"/>
      <c r="AZ393" s="547"/>
      <c r="BA393" s="547"/>
      <c r="BB393" s="547"/>
      <c r="BC393" s="547"/>
      <c r="BD393" s="547"/>
      <c r="BE393" s="547"/>
      <c r="BF393" s="547"/>
      <c r="BG393" s="547"/>
      <c r="BH393" s="547"/>
      <c r="BI393" s="547"/>
      <c r="BJ393" s="547"/>
      <c r="BK393" s="547"/>
      <c r="BL393" s="547"/>
      <c r="BM393" s="547"/>
      <c r="BN393" s="547"/>
      <c r="BO393" s="547"/>
      <c r="BP393" s="547"/>
      <c r="BQ393" s="547"/>
      <c r="BR393" s="547"/>
      <c r="BS393" s="547"/>
      <c r="BT393" s="547"/>
      <c r="BU393" s="547"/>
      <c r="BV393" s="547"/>
      <c r="BW393" s="547"/>
      <c r="BX393" s="547"/>
      <c r="BY393" s="547"/>
      <c r="BZ393" s="547"/>
      <c r="CA393" s="547"/>
      <c r="CB393" s="547"/>
      <c r="CC393" s="547"/>
    </row>
    <row r="394" spans="1:81">
      <c r="A394" s="547"/>
      <c r="B394" s="547"/>
      <c r="C394" s="547"/>
      <c r="D394" s="547"/>
      <c r="E394" s="547"/>
      <c r="F394" s="547"/>
      <c r="G394" s="547"/>
      <c r="H394" s="547"/>
      <c r="I394" s="547"/>
      <c r="J394" s="547"/>
      <c r="K394" s="547"/>
      <c r="L394" s="547"/>
      <c r="M394" s="547"/>
      <c r="N394" s="547"/>
      <c r="O394" s="547"/>
      <c r="P394" s="547"/>
      <c r="Q394" s="547"/>
      <c r="R394" s="547"/>
      <c r="S394" s="547"/>
      <c r="T394" s="547"/>
      <c r="U394" s="547"/>
      <c r="V394" s="547"/>
      <c r="W394" s="547"/>
      <c r="X394" s="547"/>
      <c r="Y394" s="547"/>
      <c r="Z394" s="547"/>
      <c r="AA394" s="547"/>
      <c r="AB394" s="547"/>
      <c r="AC394" s="547"/>
      <c r="AD394" s="547"/>
      <c r="AE394" s="547"/>
      <c r="AF394" s="547"/>
      <c r="AG394" s="547"/>
      <c r="AH394" s="547"/>
      <c r="AI394" s="547"/>
      <c r="AJ394" s="547"/>
      <c r="AK394" s="547"/>
      <c r="AL394" s="547"/>
      <c r="AM394" s="547"/>
      <c r="AN394" s="547"/>
      <c r="AO394" s="547"/>
      <c r="AP394" s="547"/>
      <c r="AQ394" s="547"/>
      <c r="AR394" s="547"/>
      <c r="AS394" s="547"/>
      <c r="AT394" s="547"/>
      <c r="AU394" s="547"/>
      <c r="AV394" s="547"/>
      <c r="AW394" s="547"/>
      <c r="AX394" s="547"/>
      <c r="AY394" s="547"/>
      <c r="AZ394" s="547"/>
      <c r="BA394" s="547"/>
      <c r="BB394" s="547"/>
      <c r="BC394" s="547"/>
      <c r="BD394" s="547"/>
      <c r="BE394" s="547"/>
      <c r="BF394" s="547"/>
      <c r="BG394" s="547"/>
      <c r="BH394" s="547"/>
      <c r="BI394" s="547"/>
      <c r="BJ394" s="547"/>
      <c r="BK394" s="547"/>
      <c r="BL394" s="547"/>
      <c r="BM394" s="547"/>
      <c r="BN394" s="547"/>
      <c r="BO394" s="547"/>
      <c r="BP394" s="547"/>
      <c r="BQ394" s="547"/>
      <c r="BR394" s="547"/>
      <c r="BS394" s="547"/>
      <c r="BT394" s="547"/>
      <c r="BU394" s="547"/>
      <c r="BV394" s="547"/>
      <c r="BW394" s="547"/>
      <c r="BX394" s="547"/>
      <c r="BY394" s="547"/>
      <c r="BZ394" s="547"/>
      <c r="CA394" s="547"/>
      <c r="CB394" s="547"/>
      <c r="CC394" s="547"/>
    </row>
    <row r="395" spans="1:81">
      <c r="A395" s="547"/>
      <c r="B395" s="547"/>
      <c r="C395" s="547"/>
      <c r="D395" s="547"/>
      <c r="E395" s="547"/>
      <c r="F395" s="547"/>
      <c r="G395" s="547"/>
      <c r="H395" s="547"/>
      <c r="I395" s="547"/>
      <c r="J395" s="547"/>
      <c r="K395" s="547"/>
      <c r="L395" s="547"/>
      <c r="M395" s="547"/>
      <c r="N395" s="547"/>
      <c r="O395" s="547"/>
      <c r="P395" s="547"/>
      <c r="Q395" s="547"/>
      <c r="R395" s="547"/>
      <c r="S395" s="547"/>
      <c r="T395" s="547"/>
      <c r="U395" s="547"/>
      <c r="V395" s="547"/>
      <c r="W395" s="547"/>
      <c r="X395" s="547"/>
      <c r="Y395" s="547"/>
      <c r="Z395" s="547"/>
      <c r="AA395" s="547"/>
      <c r="AB395" s="547"/>
      <c r="AC395" s="547"/>
      <c r="AD395" s="547"/>
      <c r="AE395" s="547"/>
      <c r="AF395" s="547"/>
      <c r="AG395" s="547"/>
      <c r="AH395" s="547"/>
      <c r="AI395" s="547"/>
      <c r="AJ395" s="547"/>
      <c r="AK395" s="547"/>
      <c r="AL395" s="547"/>
      <c r="AM395" s="547"/>
      <c r="AN395" s="547"/>
      <c r="AO395" s="547"/>
      <c r="AP395" s="547"/>
      <c r="AQ395" s="547"/>
      <c r="AR395" s="547"/>
      <c r="AS395" s="547"/>
      <c r="AT395" s="547"/>
      <c r="AU395" s="547"/>
      <c r="AV395" s="547"/>
      <c r="AW395" s="547"/>
      <c r="AX395" s="547"/>
      <c r="AY395" s="547"/>
      <c r="AZ395" s="547"/>
      <c r="BA395" s="547"/>
      <c r="BB395" s="547"/>
      <c r="BC395" s="547"/>
      <c r="BD395" s="547"/>
      <c r="BE395" s="547"/>
      <c r="BF395" s="547"/>
      <c r="BG395" s="547"/>
      <c r="BH395" s="547"/>
      <c r="BI395" s="547"/>
      <c r="BJ395" s="547"/>
      <c r="BK395" s="547"/>
      <c r="BL395" s="547"/>
      <c r="BM395" s="547"/>
      <c r="BN395" s="547"/>
      <c r="BO395" s="547"/>
      <c r="BP395" s="547"/>
      <c r="BQ395" s="547"/>
      <c r="BR395" s="547"/>
      <c r="BS395" s="547"/>
      <c r="BT395" s="547"/>
      <c r="BU395" s="547"/>
      <c r="BV395" s="547"/>
      <c r="BW395" s="547"/>
      <c r="BX395" s="547"/>
      <c r="BY395" s="547"/>
      <c r="BZ395" s="547"/>
      <c r="CA395" s="547"/>
      <c r="CB395" s="547"/>
      <c r="CC395" s="547"/>
    </row>
    <row r="396" spans="1:81">
      <c r="A396" s="547"/>
      <c r="B396" s="547"/>
      <c r="C396" s="547"/>
      <c r="D396" s="547"/>
      <c r="E396" s="547"/>
      <c r="F396" s="547"/>
      <c r="G396" s="547"/>
      <c r="H396" s="547"/>
      <c r="I396" s="547"/>
      <c r="J396" s="547"/>
      <c r="K396" s="547"/>
      <c r="L396" s="547"/>
      <c r="M396" s="547"/>
      <c r="N396" s="547"/>
      <c r="O396" s="547"/>
      <c r="P396" s="547"/>
      <c r="Q396" s="547"/>
      <c r="R396" s="547"/>
      <c r="S396" s="547"/>
      <c r="T396" s="547"/>
      <c r="U396" s="547"/>
      <c r="V396" s="547"/>
      <c r="W396" s="547"/>
      <c r="X396" s="547"/>
      <c r="Y396" s="547"/>
      <c r="Z396" s="547"/>
      <c r="AA396" s="547"/>
      <c r="AB396" s="547"/>
      <c r="AC396" s="547"/>
      <c r="AD396" s="547"/>
      <c r="AE396" s="547"/>
      <c r="AF396" s="547"/>
      <c r="AG396" s="547"/>
      <c r="AH396" s="547"/>
      <c r="AI396" s="547"/>
      <c r="AJ396" s="547"/>
      <c r="AK396" s="547"/>
      <c r="AL396" s="547"/>
      <c r="AM396" s="547"/>
      <c r="AN396" s="547"/>
      <c r="AO396" s="547"/>
      <c r="AP396" s="547"/>
      <c r="AQ396" s="547"/>
      <c r="AR396" s="547"/>
      <c r="AS396" s="547"/>
      <c r="AT396" s="547"/>
      <c r="AU396" s="547"/>
      <c r="AV396" s="547"/>
      <c r="AW396" s="547"/>
      <c r="AX396" s="547"/>
      <c r="AY396" s="547"/>
      <c r="AZ396" s="547"/>
      <c r="BA396" s="547"/>
      <c r="BB396" s="547"/>
      <c r="BC396" s="547"/>
      <c r="BD396" s="547"/>
      <c r="BE396" s="547"/>
      <c r="BF396" s="547"/>
      <c r="BG396" s="547"/>
      <c r="BH396" s="547"/>
      <c r="BI396" s="547"/>
      <c r="BJ396" s="547"/>
      <c r="BK396" s="547"/>
      <c r="BL396" s="547"/>
      <c r="BM396" s="547"/>
      <c r="BN396" s="547"/>
      <c r="BO396" s="547"/>
      <c r="BP396" s="547"/>
      <c r="BQ396" s="547"/>
      <c r="BR396" s="547"/>
      <c r="BS396" s="547"/>
      <c r="BT396" s="547"/>
      <c r="BU396" s="547"/>
      <c r="BV396" s="547"/>
      <c r="BW396" s="547"/>
      <c r="BX396" s="547"/>
      <c r="BY396" s="547"/>
      <c r="BZ396" s="547"/>
      <c r="CA396" s="547"/>
      <c r="CB396" s="547"/>
      <c r="CC396" s="547"/>
    </row>
    <row r="397" spans="1:81">
      <c r="A397" s="547"/>
      <c r="B397" s="547"/>
      <c r="C397" s="547"/>
      <c r="D397" s="547"/>
      <c r="E397" s="547"/>
      <c r="F397" s="547"/>
      <c r="G397" s="547"/>
      <c r="H397" s="547"/>
      <c r="I397" s="547"/>
      <c r="J397" s="547"/>
      <c r="K397" s="547"/>
      <c r="L397" s="547"/>
      <c r="M397" s="547"/>
      <c r="N397" s="547"/>
      <c r="O397" s="547"/>
      <c r="P397" s="547"/>
      <c r="Q397" s="547"/>
      <c r="R397" s="547"/>
      <c r="S397" s="547"/>
      <c r="T397" s="547"/>
      <c r="U397" s="547"/>
      <c r="V397" s="547"/>
      <c r="W397" s="547"/>
      <c r="X397" s="547"/>
      <c r="Y397" s="547"/>
      <c r="Z397" s="547"/>
      <c r="AA397" s="547"/>
      <c r="AB397" s="547"/>
      <c r="AC397" s="547"/>
      <c r="AD397" s="547"/>
      <c r="AE397" s="547"/>
      <c r="AF397" s="547"/>
      <c r="AG397" s="547"/>
      <c r="AH397" s="547"/>
      <c r="AI397" s="547"/>
      <c r="AJ397" s="547"/>
      <c r="AK397" s="547"/>
      <c r="AL397" s="547"/>
      <c r="AM397" s="547"/>
      <c r="AN397" s="547"/>
      <c r="AO397" s="547"/>
      <c r="AP397" s="547"/>
      <c r="AQ397" s="547"/>
      <c r="AR397" s="547"/>
      <c r="AS397" s="547"/>
      <c r="AT397" s="547"/>
      <c r="AU397" s="547"/>
      <c r="AV397" s="547"/>
      <c r="AW397" s="547"/>
      <c r="AX397" s="547"/>
      <c r="AY397" s="547"/>
      <c r="AZ397" s="547"/>
      <c r="BA397" s="547"/>
      <c r="BB397" s="547"/>
      <c r="BC397" s="547"/>
      <c r="BD397" s="547"/>
      <c r="BE397" s="547"/>
      <c r="BF397" s="547"/>
      <c r="BG397" s="547"/>
      <c r="BH397" s="547"/>
      <c r="BI397" s="547"/>
      <c r="BJ397" s="547"/>
      <c r="BK397" s="547"/>
      <c r="BL397" s="547"/>
      <c r="BM397" s="547"/>
      <c r="BN397" s="547"/>
      <c r="BO397" s="547"/>
      <c r="BP397" s="547"/>
      <c r="BQ397" s="547"/>
      <c r="BR397" s="547"/>
      <c r="BS397" s="547"/>
      <c r="BT397" s="547"/>
      <c r="BU397" s="547"/>
      <c r="BV397" s="547"/>
      <c r="BW397" s="547"/>
      <c r="BX397" s="547"/>
      <c r="BY397" s="547"/>
      <c r="BZ397" s="547"/>
      <c r="CA397" s="547"/>
      <c r="CB397" s="547"/>
      <c r="CC397" s="547"/>
    </row>
    <row r="398" spans="1:81">
      <c r="A398" s="547"/>
      <c r="B398" s="547"/>
      <c r="C398" s="547"/>
      <c r="D398" s="547"/>
      <c r="E398" s="547"/>
      <c r="F398" s="547"/>
      <c r="G398" s="547"/>
      <c r="H398" s="547"/>
      <c r="I398" s="547"/>
      <c r="J398" s="547"/>
      <c r="K398" s="547"/>
      <c r="L398" s="547"/>
      <c r="M398" s="547"/>
      <c r="N398" s="547"/>
      <c r="O398" s="547"/>
      <c r="P398" s="547"/>
      <c r="Q398" s="547"/>
      <c r="R398" s="547"/>
      <c r="S398" s="547"/>
      <c r="T398" s="547"/>
      <c r="U398" s="547"/>
      <c r="V398" s="547"/>
      <c r="W398" s="547"/>
      <c r="X398" s="547"/>
      <c r="Y398" s="547"/>
      <c r="Z398" s="547"/>
      <c r="AA398" s="547"/>
      <c r="AB398" s="547"/>
      <c r="AC398" s="547"/>
      <c r="AD398" s="547"/>
      <c r="AE398" s="547"/>
      <c r="AF398" s="547"/>
      <c r="AG398" s="547"/>
      <c r="AH398" s="547"/>
      <c r="AI398" s="547"/>
      <c r="AJ398" s="547"/>
      <c r="AK398" s="547"/>
      <c r="AL398" s="547"/>
      <c r="AM398" s="547"/>
      <c r="AN398" s="547"/>
      <c r="AO398" s="547"/>
      <c r="AP398" s="547"/>
      <c r="AQ398" s="547"/>
      <c r="AR398" s="547"/>
      <c r="AS398" s="547"/>
      <c r="AT398" s="547"/>
      <c r="AU398" s="547"/>
      <c r="AV398" s="547"/>
      <c r="AW398" s="547"/>
      <c r="AX398" s="547"/>
      <c r="AY398" s="547"/>
      <c r="AZ398" s="547"/>
      <c r="BA398" s="547"/>
      <c r="BB398" s="547"/>
      <c r="BC398" s="547"/>
      <c r="BD398" s="547"/>
      <c r="BE398" s="547"/>
      <c r="BF398" s="547"/>
      <c r="BG398" s="547"/>
      <c r="BH398" s="547"/>
      <c r="BI398" s="547"/>
      <c r="BJ398" s="547"/>
      <c r="BK398" s="547"/>
      <c r="BL398" s="547"/>
      <c r="BM398" s="547"/>
      <c r="BN398" s="547"/>
      <c r="BO398" s="547"/>
      <c r="BP398" s="547"/>
      <c r="BQ398" s="547"/>
      <c r="BR398" s="547"/>
      <c r="BS398" s="547"/>
      <c r="BT398" s="547"/>
      <c r="BU398" s="547"/>
      <c r="BV398" s="547"/>
      <c r="BW398" s="547"/>
      <c r="BX398" s="547"/>
      <c r="BY398" s="547"/>
      <c r="BZ398" s="547"/>
      <c r="CA398" s="547"/>
      <c r="CB398" s="547"/>
      <c r="CC398" s="547"/>
    </row>
    <row r="399" spans="1:81">
      <c r="A399" s="547"/>
      <c r="B399" s="547"/>
      <c r="C399" s="547"/>
      <c r="D399" s="547"/>
      <c r="E399" s="547"/>
      <c r="F399" s="547"/>
      <c r="G399" s="547"/>
      <c r="H399" s="547"/>
      <c r="I399" s="547"/>
      <c r="J399" s="547"/>
      <c r="K399" s="547"/>
      <c r="L399" s="547"/>
      <c r="M399" s="547"/>
      <c r="N399" s="547"/>
      <c r="O399" s="547"/>
      <c r="P399" s="547"/>
      <c r="Q399" s="547"/>
      <c r="R399" s="547"/>
      <c r="S399" s="547"/>
      <c r="T399" s="547"/>
      <c r="U399" s="547"/>
      <c r="V399" s="547"/>
      <c r="W399" s="547"/>
      <c r="X399" s="547"/>
      <c r="Y399" s="547"/>
      <c r="Z399" s="547"/>
      <c r="AA399" s="547"/>
      <c r="AB399" s="547"/>
      <c r="AC399" s="547"/>
      <c r="AD399" s="547"/>
      <c r="AE399" s="547"/>
      <c r="AF399" s="547"/>
      <c r="AG399" s="547"/>
      <c r="AH399" s="547"/>
      <c r="AI399" s="547"/>
      <c r="AJ399" s="547"/>
      <c r="AK399" s="547"/>
      <c r="AL399" s="547"/>
      <c r="AM399" s="547"/>
      <c r="AN399" s="547"/>
      <c r="AO399" s="547"/>
      <c r="AP399" s="547"/>
      <c r="AQ399" s="547"/>
      <c r="AR399" s="547"/>
      <c r="AS399" s="547"/>
      <c r="AT399" s="547"/>
      <c r="AU399" s="547"/>
      <c r="AV399" s="547"/>
      <c r="AW399" s="547"/>
      <c r="AX399" s="547"/>
      <c r="AY399" s="547"/>
      <c r="AZ399" s="547"/>
      <c r="BA399" s="547"/>
      <c r="BB399" s="547"/>
      <c r="BC399" s="547"/>
      <c r="BD399" s="547"/>
      <c r="BE399" s="547"/>
      <c r="BF399" s="547"/>
      <c r="BG399" s="547"/>
      <c r="BH399" s="547"/>
      <c r="BI399" s="547"/>
      <c r="BJ399" s="547"/>
      <c r="BK399" s="547"/>
      <c r="BL399" s="547"/>
      <c r="BM399" s="547"/>
      <c r="BN399" s="547"/>
      <c r="BO399" s="547"/>
      <c r="BP399" s="547"/>
      <c r="BQ399" s="547"/>
      <c r="BR399" s="547"/>
      <c r="BS399" s="547"/>
      <c r="BT399" s="547"/>
      <c r="BU399" s="547"/>
      <c r="BV399" s="547"/>
      <c r="BW399" s="547"/>
      <c r="BX399" s="547"/>
      <c r="BY399" s="547"/>
      <c r="BZ399" s="547"/>
      <c r="CA399" s="547"/>
      <c r="CB399" s="547"/>
      <c r="CC399" s="547"/>
    </row>
    <row r="400" spans="1:81">
      <c r="A400" s="547"/>
      <c r="B400" s="547"/>
      <c r="C400" s="547"/>
      <c r="D400" s="547"/>
      <c r="E400" s="547"/>
      <c r="F400" s="547"/>
      <c r="G400" s="547"/>
      <c r="H400" s="547"/>
      <c r="I400" s="547"/>
      <c r="J400" s="547"/>
      <c r="K400" s="547"/>
      <c r="L400" s="547"/>
      <c r="M400" s="547"/>
      <c r="N400" s="547"/>
      <c r="O400" s="547"/>
      <c r="P400" s="547"/>
      <c r="Q400" s="547"/>
      <c r="R400" s="547"/>
      <c r="S400" s="547"/>
      <c r="T400" s="547"/>
      <c r="U400" s="547"/>
      <c r="V400" s="547"/>
      <c r="W400" s="547"/>
      <c r="X400" s="547"/>
      <c r="Y400" s="547"/>
      <c r="Z400" s="547"/>
      <c r="AA400" s="547"/>
      <c r="AB400" s="547"/>
      <c r="AC400" s="547"/>
      <c r="AD400" s="547"/>
      <c r="AE400" s="547"/>
      <c r="AF400" s="547"/>
      <c r="AG400" s="547"/>
      <c r="AH400" s="547"/>
      <c r="AI400" s="547"/>
      <c r="AJ400" s="547"/>
      <c r="AK400" s="547"/>
      <c r="AL400" s="547"/>
      <c r="AM400" s="547"/>
      <c r="AN400" s="547"/>
      <c r="AO400" s="547"/>
      <c r="AP400" s="547"/>
      <c r="AQ400" s="547"/>
      <c r="AR400" s="547"/>
      <c r="AS400" s="547"/>
      <c r="AT400" s="547"/>
      <c r="AU400" s="547"/>
      <c r="AV400" s="547"/>
      <c r="AW400" s="547"/>
      <c r="AX400" s="547"/>
      <c r="AY400" s="547"/>
      <c r="AZ400" s="547"/>
      <c r="BA400" s="547"/>
      <c r="BB400" s="547"/>
      <c r="BC400" s="547"/>
      <c r="BD400" s="547"/>
      <c r="BE400" s="547"/>
      <c r="BF400" s="547"/>
      <c r="BG400" s="547"/>
      <c r="BH400" s="547"/>
      <c r="BI400" s="547"/>
      <c r="BJ400" s="547"/>
      <c r="BK400" s="547"/>
      <c r="BL400" s="547"/>
      <c r="BM400" s="547"/>
      <c r="BN400" s="547"/>
      <c r="BO400" s="547"/>
      <c r="BP400" s="547"/>
      <c r="BQ400" s="547"/>
      <c r="BR400" s="547"/>
      <c r="BS400" s="547"/>
      <c r="BT400" s="547"/>
      <c r="BU400" s="547"/>
      <c r="BV400" s="547"/>
      <c r="BW400" s="547"/>
      <c r="BX400" s="547"/>
      <c r="BY400" s="547"/>
      <c r="BZ400" s="547"/>
      <c r="CA400" s="547"/>
      <c r="CB400" s="547"/>
      <c r="CC400" s="547"/>
    </row>
    <row r="401" spans="1:81">
      <c r="A401" s="547"/>
      <c r="B401" s="547"/>
      <c r="C401" s="547"/>
      <c r="D401" s="547"/>
      <c r="E401" s="547"/>
      <c r="F401" s="547"/>
      <c r="G401" s="547"/>
      <c r="H401" s="547"/>
      <c r="I401" s="547"/>
      <c r="J401" s="547"/>
      <c r="K401" s="547"/>
      <c r="L401" s="547"/>
      <c r="M401" s="547"/>
      <c r="N401" s="547"/>
      <c r="O401" s="547"/>
      <c r="P401" s="547"/>
      <c r="Q401" s="547"/>
      <c r="R401" s="547"/>
      <c r="S401" s="547"/>
      <c r="T401" s="547"/>
      <c r="U401" s="547"/>
      <c r="V401" s="547"/>
      <c r="W401" s="547"/>
      <c r="X401" s="547"/>
      <c r="Y401" s="547"/>
      <c r="Z401" s="547"/>
      <c r="AA401" s="547"/>
      <c r="AB401" s="547"/>
      <c r="AC401" s="547"/>
      <c r="AD401" s="547"/>
      <c r="AE401" s="547"/>
      <c r="AF401" s="547"/>
      <c r="AG401" s="547"/>
      <c r="AH401" s="547"/>
      <c r="AI401" s="547"/>
      <c r="AJ401" s="547"/>
      <c r="AK401" s="547"/>
      <c r="AL401" s="547"/>
      <c r="AM401" s="547"/>
      <c r="AN401" s="547"/>
      <c r="AO401" s="547"/>
      <c r="AP401" s="547"/>
      <c r="AQ401" s="547"/>
      <c r="AR401" s="547"/>
      <c r="AS401" s="547"/>
      <c r="AT401" s="547"/>
      <c r="AU401" s="547"/>
      <c r="AV401" s="547"/>
      <c r="AW401" s="547"/>
      <c r="AX401" s="547"/>
      <c r="AY401" s="547"/>
      <c r="AZ401" s="547"/>
      <c r="BA401" s="547"/>
      <c r="BB401" s="547"/>
      <c r="BC401" s="547"/>
      <c r="BD401" s="547"/>
      <c r="BE401" s="547"/>
      <c r="BF401" s="547"/>
      <c r="BG401" s="547"/>
      <c r="BH401" s="547"/>
      <c r="BI401" s="547"/>
      <c r="BJ401" s="547"/>
      <c r="BK401" s="547"/>
      <c r="BL401" s="547"/>
      <c r="BM401" s="547"/>
      <c r="BN401" s="547"/>
      <c r="BO401" s="547"/>
      <c r="BP401" s="547"/>
      <c r="BQ401" s="547"/>
      <c r="BR401" s="547"/>
      <c r="BS401" s="547"/>
      <c r="BT401" s="547"/>
      <c r="BU401" s="547"/>
      <c r="BV401" s="547"/>
      <c r="BW401" s="547"/>
      <c r="BX401" s="547"/>
      <c r="BY401" s="547"/>
      <c r="BZ401" s="547"/>
      <c r="CA401" s="547"/>
      <c r="CB401" s="547"/>
      <c r="CC401" s="547"/>
    </row>
    <row r="402" spans="1:81">
      <c r="A402" s="547"/>
      <c r="B402" s="547"/>
      <c r="C402" s="547"/>
      <c r="D402" s="547"/>
      <c r="E402" s="547"/>
      <c r="F402" s="547"/>
      <c r="G402" s="547"/>
      <c r="H402" s="547"/>
      <c r="I402" s="547"/>
      <c r="J402" s="547"/>
      <c r="K402" s="547"/>
      <c r="L402" s="547"/>
      <c r="M402" s="547"/>
      <c r="N402" s="547"/>
      <c r="O402" s="547"/>
      <c r="P402" s="547"/>
      <c r="Q402" s="547"/>
      <c r="R402" s="547"/>
      <c r="S402" s="547"/>
      <c r="T402" s="547"/>
      <c r="U402" s="547"/>
      <c r="V402" s="547"/>
      <c r="W402" s="547"/>
      <c r="X402" s="547"/>
      <c r="Y402" s="547"/>
      <c r="Z402" s="547"/>
      <c r="AA402" s="547"/>
      <c r="AB402" s="547"/>
      <c r="AC402" s="547"/>
      <c r="AD402" s="547"/>
      <c r="AE402" s="547"/>
      <c r="AF402" s="547"/>
      <c r="AG402" s="547"/>
      <c r="AH402" s="547"/>
      <c r="AI402" s="547"/>
      <c r="AJ402" s="547"/>
      <c r="AK402" s="547"/>
      <c r="AL402" s="547"/>
      <c r="AM402" s="547"/>
      <c r="AN402" s="547"/>
      <c r="AO402" s="547"/>
      <c r="AP402" s="547"/>
      <c r="AQ402" s="547"/>
      <c r="AR402" s="547"/>
      <c r="AS402" s="547"/>
      <c r="AT402" s="547"/>
      <c r="AU402" s="547"/>
      <c r="AV402" s="547"/>
      <c r="AW402" s="547"/>
      <c r="AX402" s="547"/>
      <c r="AY402" s="547"/>
      <c r="AZ402" s="547"/>
      <c r="BA402" s="547"/>
      <c r="BB402" s="547"/>
      <c r="BC402" s="547"/>
      <c r="BD402" s="547"/>
      <c r="BE402" s="547"/>
      <c r="BF402" s="547"/>
      <c r="BG402" s="547"/>
      <c r="BH402" s="547"/>
      <c r="BI402" s="547"/>
      <c r="BJ402" s="547"/>
      <c r="BK402" s="547"/>
      <c r="BL402" s="547"/>
      <c r="BM402" s="547"/>
      <c r="BN402" s="547"/>
      <c r="BO402" s="547"/>
      <c r="BP402" s="547"/>
      <c r="BQ402" s="547"/>
      <c r="BR402" s="547"/>
      <c r="BS402" s="547"/>
      <c r="BT402" s="547"/>
      <c r="BU402" s="547"/>
      <c r="BV402" s="547"/>
      <c r="BW402" s="547"/>
      <c r="BX402" s="547"/>
      <c r="BY402" s="547"/>
      <c r="BZ402" s="547"/>
      <c r="CA402" s="547"/>
      <c r="CB402" s="547"/>
      <c r="CC402" s="547"/>
    </row>
    <row r="403" spans="1:81">
      <c r="A403" s="547"/>
      <c r="B403" s="547"/>
      <c r="C403" s="547"/>
      <c r="D403" s="547"/>
      <c r="E403" s="547"/>
      <c r="F403" s="547"/>
      <c r="G403" s="547"/>
      <c r="H403" s="547"/>
      <c r="I403" s="547"/>
      <c r="J403" s="547"/>
      <c r="K403" s="547"/>
      <c r="L403" s="547"/>
      <c r="M403" s="547"/>
      <c r="N403" s="547"/>
      <c r="O403" s="547"/>
      <c r="P403" s="547"/>
      <c r="Q403" s="547"/>
      <c r="R403" s="547"/>
      <c r="S403" s="547"/>
      <c r="T403" s="547"/>
      <c r="U403" s="547"/>
      <c r="V403" s="547"/>
      <c r="W403" s="547"/>
      <c r="X403" s="547"/>
      <c r="Y403" s="547"/>
      <c r="Z403" s="547"/>
      <c r="AA403" s="547"/>
      <c r="AB403" s="547"/>
      <c r="AC403" s="547"/>
      <c r="AD403" s="547"/>
      <c r="AE403" s="547"/>
      <c r="AF403" s="547"/>
      <c r="AG403" s="547"/>
      <c r="AH403" s="547"/>
      <c r="AI403" s="547"/>
      <c r="AJ403" s="547"/>
      <c r="AK403" s="547"/>
      <c r="AL403" s="547"/>
      <c r="AM403" s="547"/>
      <c r="AN403" s="547"/>
      <c r="AO403" s="547"/>
      <c r="AP403" s="547"/>
      <c r="AQ403" s="547"/>
      <c r="AR403" s="547"/>
      <c r="AS403" s="547"/>
      <c r="AT403" s="547"/>
      <c r="AU403" s="547"/>
      <c r="AV403" s="547"/>
      <c r="AW403" s="547"/>
      <c r="AX403" s="547"/>
      <c r="AY403" s="547"/>
      <c r="AZ403" s="547"/>
      <c r="BA403" s="547"/>
      <c r="BB403" s="547"/>
      <c r="BC403" s="547"/>
      <c r="BD403" s="547"/>
      <c r="BE403" s="547"/>
      <c r="BF403" s="547"/>
      <c r="BG403" s="547"/>
      <c r="BH403" s="547"/>
      <c r="BI403" s="547"/>
      <c r="BJ403" s="547"/>
      <c r="BK403" s="547"/>
      <c r="BL403" s="547"/>
      <c r="BM403" s="547"/>
      <c r="BN403" s="547"/>
      <c r="BO403" s="547"/>
      <c r="BP403" s="547"/>
      <c r="BQ403" s="547"/>
      <c r="BR403" s="547"/>
      <c r="BS403" s="547"/>
      <c r="BT403" s="547"/>
      <c r="BU403" s="547"/>
      <c r="BV403" s="547"/>
      <c r="BW403" s="547"/>
      <c r="BX403" s="547"/>
      <c r="BY403" s="547"/>
      <c r="BZ403" s="547"/>
      <c r="CA403" s="547"/>
      <c r="CB403" s="547"/>
      <c r="CC403" s="547"/>
    </row>
    <row r="404" spans="1:81">
      <c r="A404" s="547"/>
      <c r="B404" s="547"/>
      <c r="C404" s="547"/>
      <c r="D404" s="547"/>
      <c r="E404" s="547"/>
      <c r="F404" s="547"/>
      <c r="G404" s="547"/>
      <c r="H404" s="547"/>
      <c r="I404" s="547"/>
      <c r="J404" s="547"/>
      <c r="K404" s="547"/>
      <c r="L404" s="547"/>
      <c r="M404" s="547"/>
      <c r="N404" s="547"/>
      <c r="O404" s="547"/>
      <c r="P404" s="547"/>
      <c r="Q404" s="547"/>
      <c r="R404" s="547"/>
      <c r="S404" s="547"/>
      <c r="T404" s="547"/>
      <c r="U404" s="547"/>
      <c r="V404" s="547"/>
      <c r="W404" s="547"/>
      <c r="X404" s="547"/>
      <c r="Y404" s="547"/>
      <c r="Z404" s="547"/>
      <c r="AA404" s="547"/>
      <c r="AB404" s="547"/>
      <c r="AC404" s="547"/>
      <c r="AD404" s="547"/>
      <c r="AE404" s="547"/>
      <c r="AF404" s="547"/>
      <c r="AG404" s="547"/>
      <c r="AH404" s="547"/>
      <c r="AI404" s="547"/>
      <c r="AJ404" s="547"/>
      <c r="AK404" s="547"/>
      <c r="AL404" s="547"/>
      <c r="AM404" s="547"/>
      <c r="AN404" s="547"/>
      <c r="AO404" s="547"/>
      <c r="AP404" s="547"/>
      <c r="AQ404" s="547"/>
      <c r="AR404" s="547"/>
      <c r="AS404" s="547"/>
      <c r="AT404" s="547"/>
      <c r="AU404" s="547"/>
      <c r="AV404" s="547"/>
      <c r="AW404" s="547"/>
      <c r="AX404" s="547"/>
      <c r="AY404" s="547"/>
      <c r="AZ404" s="547"/>
      <c r="BA404" s="547"/>
      <c r="BB404" s="547"/>
      <c r="BC404" s="547"/>
      <c r="BD404" s="547"/>
      <c r="BE404" s="547"/>
      <c r="BF404" s="547"/>
      <c r="BG404" s="547"/>
      <c r="BH404" s="547"/>
      <c r="BI404" s="547"/>
      <c r="BJ404" s="547"/>
      <c r="BK404" s="547"/>
      <c r="BL404" s="547"/>
      <c r="BM404" s="547"/>
      <c r="BN404" s="547"/>
      <c r="BO404" s="547"/>
      <c r="BP404" s="547"/>
      <c r="BQ404" s="547"/>
      <c r="BR404" s="547"/>
      <c r="BS404" s="547"/>
      <c r="BT404" s="547"/>
      <c r="BU404" s="547"/>
      <c r="BV404" s="547"/>
      <c r="BW404" s="547"/>
      <c r="BX404" s="547"/>
      <c r="BY404" s="547"/>
      <c r="BZ404" s="547"/>
      <c r="CA404" s="547"/>
      <c r="CB404" s="547"/>
      <c r="CC404" s="547"/>
    </row>
    <row r="405" spans="1:81">
      <c r="A405" s="547"/>
      <c r="B405" s="547"/>
      <c r="C405" s="547"/>
      <c r="D405" s="547"/>
      <c r="E405" s="547"/>
      <c r="F405" s="547"/>
      <c r="G405" s="547"/>
      <c r="H405" s="547"/>
      <c r="I405" s="547"/>
      <c r="J405" s="547"/>
      <c r="K405" s="547"/>
      <c r="L405" s="547"/>
      <c r="M405" s="547"/>
      <c r="N405" s="547"/>
      <c r="O405" s="547"/>
      <c r="P405" s="547"/>
      <c r="Q405" s="547"/>
      <c r="R405" s="547"/>
      <c r="S405" s="547"/>
      <c r="T405" s="547"/>
      <c r="U405" s="547"/>
      <c r="V405" s="547"/>
      <c r="W405" s="547"/>
      <c r="X405" s="547"/>
      <c r="Y405" s="547"/>
      <c r="Z405" s="547"/>
      <c r="AA405" s="547"/>
      <c r="AB405" s="547"/>
      <c r="AC405" s="547"/>
      <c r="AD405" s="547"/>
      <c r="AE405" s="547"/>
      <c r="AF405" s="547"/>
      <c r="AG405" s="547"/>
      <c r="AH405" s="547"/>
      <c r="AI405" s="547"/>
      <c r="AJ405" s="547"/>
      <c r="AK405" s="547"/>
      <c r="AL405" s="547"/>
      <c r="AM405" s="547"/>
      <c r="AN405" s="547"/>
      <c r="AO405" s="547"/>
      <c r="AP405" s="547"/>
      <c r="AQ405" s="547"/>
      <c r="AR405" s="547"/>
      <c r="AS405" s="547"/>
      <c r="AT405" s="547"/>
      <c r="AU405" s="547"/>
      <c r="AV405" s="547"/>
      <c r="AW405" s="547"/>
      <c r="AX405" s="547"/>
      <c r="AY405" s="547"/>
      <c r="AZ405" s="547"/>
      <c r="BA405" s="547"/>
      <c r="BB405" s="547"/>
      <c r="BC405" s="547"/>
      <c r="BD405" s="547"/>
      <c r="BE405" s="547"/>
      <c r="BF405" s="547"/>
      <c r="BG405" s="547"/>
      <c r="BH405" s="547"/>
      <c r="BI405" s="547"/>
      <c r="BJ405" s="547"/>
      <c r="BK405" s="547"/>
      <c r="BL405" s="547"/>
      <c r="BM405" s="547"/>
      <c r="BN405" s="547"/>
      <c r="BO405" s="547"/>
      <c r="BP405" s="547"/>
      <c r="BQ405" s="547"/>
      <c r="BR405" s="547"/>
      <c r="BS405" s="547"/>
      <c r="BT405" s="547"/>
      <c r="BU405" s="547"/>
      <c r="BV405" s="547"/>
      <c r="BW405" s="547"/>
      <c r="BX405" s="547"/>
      <c r="BY405" s="547"/>
      <c r="BZ405" s="547"/>
      <c r="CA405" s="547"/>
      <c r="CB405" s="547"/>
      <c r="CC405" s="547"/>
    </row>
    <row r="406" spans="1:81">
      <c r="A406" s="547"/>
      <c r="B406" s="547"/>
      <c r="C406" s="547"/>
      <c r="D406" s="547"/>
      <c r="E406" s="547"/>
      <c r="F406" s="547"/>
      <c r="G406" s="547"/>
      <c r="H406" s="547"/>
      <c r="I406" s="547"/>
      <c r="J406" s="547"/>
      <c r="K406" s="547"/>
      <c r="L406" s="547"/>
      <c r="M406" s="547"/>
      <c r="N406" s="547"/>
      <c r="O406" s="547"/>
      <c r="P406" s="547"/>
      <c r="Q406" s="547"/>
      <c r="R406" s="547"/>
      <c r="S406" s="547"/>
      <c r="T406" s="547"/>
      <c r="U406" s="547"/>
      <c r="V406" s="547"/>
      <c r="W406" s="547"/>
      <c r="X406" s="547"/>
      <c r="Y406" s="547"/>
      <c r="Z406" s="547"/>
      <c r="AA406" s="547"/>
      <c r="AB406" s="547"/>
      <c r="AC406" s="547"/>
      <c r="AD406" s="547"/>
      <c r="AE406" s="547"/>
      <c r="AF406" s="547"/>
      <c r="AG406" s="547"/>
      <c r="AH406" s="547"/>
      <c r="AI406" s="547"/>
      <c r="AJ406" s="547"/>
      <c r="AK406" s="547"/>
      <c r="AL406" s="547"/>
      <c r="AM406" s="547"/>
      <c r="AN406" s="547"/>
      <c r="AO406" s="547"/>
      <c r="AP406" s="547"/>
      <c r="AQ406" s="547"/>
      <c r="AR406" s="547"/>
      <c r="AS406" s="547"/>
      <c r="AT406" s="547"/>
      <c r="AU406" s="547"/>
      <c r="AV406" s="547"/>
      <c r="AW406" s="547"/>
      <c r="AX406" s="547"/>
      <c r="AY406" s="547"/>
      <c r="AZ406" s="547"/>
      <c r="BA406" s="547"/>
      <c r="BB406" s="547"/>
      <c r="BC406" s="547"/>
      <c r="BD406" s="547"/>
      <c r="BE406" s="547"/>
      <c r="BF406" s="547"/>
      <c r="BG406" s="547"/>
      <c r="BH406" s="547"/>
      <c r="BI406" s="547"/>
      <c r="BJ406" s="547"/>
      <c r="BK406" s="547"/>
      <c r="BL406" s="547"/>
      <c r="BM406" s="547"/>
      <c r="BN406" s="547"/>
      <c r="BO406" s="547"/>
      <c r="BP406" s="547"/>
      <c r="BQ406" s="547"/>
      <c r="BR406" s="547"/>
      <c r="BS406" s="547"/>
      <c r="BT406" s="547"/>
      <c r="BU406" s="547"/>
      <c r="BV406" s="547"/>
      <c r="BW406" s="547"/>
      <c r="BX406" s="547"/>
      <c r="BY406" s="547"/>
      <c r="BZ406" s="547"/>
      <c r="CA406" s="547"/>
      <c r="CB406" s="547"/>
      <c r="CC406" s="547"/>
    </row>
    <row r="407" spans="1:81">
      <c r="A407" s="547"/>
      <c r="B407" s="547"/>
      <c r="C407" s="547"/>
      <c r="D407" s="547"/>
      <c r="E407" s="547"/>
      <c r="F407" s="547"/>
      <c r="G407" s="547"/>
      <c r="H407" s="547"/>
      <c r="I407" s="547"/>
      <c r="J407" s="547"/>
      <c r="K407" s="547"/>
      <c r="L407" s="547"/>
      <c r="M407" s="547"/>
      <c r="N407" s="547"/>
      <c r="O407" s="547"/>
      <c r="P407" s="547"/>
      <c r="Q407" s="547"/>
      <c r="R407" s="547"/>
      <c r="S407" s="547"/>
      <c r="T407" s="547"/>
      <c r="U407" s="547"/>
      <c r="V407" s="547"/>
      <c r="W407" s="547"/>
      <c r="X407" s="547"/>
      <c r="Y407" s="547"/>
      <c r="Z407" s="547"/>
      <c r="AA407" s="547"/>
      <c r="AB407" s="547"/>
      <c r="AC407" s="547"/>
      <c r="AD407" s="547"/>
      <c r="AE407" s="547"/>
      <c r="AF407" s="547"/>
      <c r="AG407" s="547"/>
      <c r="AH407" s="547"/>
      <c r="AI407" s="547"/>
      <c r="AJ407" s="547"/>
      <c r="AK407" s="547"/>
      <c r="AL407" s="547"/>
      <c r="AM407" s="547"/>
      <c r="AN407" s="547"/>
      <c r="AO407" s="547"/>
      <c r="AP407" s="547"/>
      <c r="AQ407" s="547"/>
      <c r="AR407" s="547"/>
      <c r="AS407" s="547"/>
      <c r="AT407" s="547"/>
      <c r="AU407" s="547"/>
      <c r="AV407" s="547"/>
      <c r="AW407" s="547"/>
      <c r="AX407" s="547"/>
      <c r="AY407" s="547"/>
      <c r="AZ407" s="547"/>
      <c r="BA407" s="547"/>
      <c r="BB407" s="547"/>
      <c r="BC407" s="547"/>
      <c r="BD407" s="547"/>
      <c r="BE407" s="547"/>
      <c r="BF407" s="547"/>
      <c r="BG407" s="547"/>
      <c r="BH407" s="547"/>
      <c r="BI407" s="547"/>
      <c r="BJ407" s="547"/>
      <c r="BK407" s="547"/>
      <c r="BL407" s="547"/>
      <c r="BM407" s="547"/>
      <c r="BN407" s="547"/>
      <c r="BO407" s="547"/>
      <c r="BP407" s="547"/>
      <c r="BQ407" s="547"/>
      <c r="BR407" s="547"/>
      <c r="BS407" s="547"/>
      <c r="BT407" s="547"/>
      <c r="BU407" s="547"/>
      <c r="BV407" s="547"/>
      <c r="BW407" s="547"/>
      <c r="BX407" s="547"/>
      <c r="BY407" s="547"/>
      <c r="BZ407" s="547"/>
      <c r="CA407" s="547"/>
      <c r="CB407" s="547"/>
      <c r="CC407" s="547"/>
    </row>
    <row r="408" spans="1:81">
      <c r="A408" s="547"/>
      <c r="B408" s="547"/>
      <c r="C408" s="547"/>
      <c r="D408" s="547"/>
      <c r="E408" s="547"/>
      <c r="F408" s="547"/>
      <c r="G408" s="547"/>
      <c r="H408" s="547"/>
      <c r="I408" s="547"/>
      <c r="J408" s="547"/>
      <c r="K408" s="547"/>
      <c r="L408" s="547"/>
      <c r="M408" s="547"/>
      <c r="N408" s="547"/>
      <c r="O408" s="547"/>
      <c r="P408" s="547"/>
      <c r="Q408" s="547"/>
      <c r="R408" s="547"/>
      <c r="S408" s="547"/>
      <c r="T408" s="547"/>
      <c r="U408" s="547"/>
      <c r="V408" s="547"/>
      <c r="W408" s="547"/>
      <c r="X408" s="547"/>
      <c r="Y408" s="547"/>
      <c r="Z408" s="547"/>
      <c r="AA408" s="547"/>
      <c r="AB408" s="547"/>
      <c r="AC408" s="547"/>
      <c r="AD408" s="547"/>
      <c r="AE408" s="547"/>
      <c r="AF408" s="547"/>
      <c r="AG408" s="547"/>
      <c r="AH408" s="547"/>
      <c r="AI408" s="547"/>
      <c r="AJ408" s="547"/>
      <c r="AK408" s="547"/>
      <c r="AL408" s="547"/>
      <c r="AM408" s="547"/>
      <c r="AN408" s="547"/>
      <c r="AO408" s="547"/>
      <c r="AP408" s="547"/>
      <c r="AQ408" s="547"/>
      <c r="AR408" s="547"/>
      <c r="AS408" s="547"/>
      <c r="AT408" s="547"/>
      <c r="AU408" s="547"/>
      <c r="AV408" s="547"/>
      <c r="AW408" s="547"/>
      <c r="AX408" s="547"/>
      <c r="AY408" s="547"/>
      <c r="AZ408" s="547"/>
      <c r="BA408" s="547"/>
      <c r="BB408" s="547"/>
      <c r="BC408" s="547"/>
      <c r="BD408" s="547"/>
      <c r="BE408" s="547"/>
      <c r="BF408" s="547"/>
      <c r="BG408" s="547"/>
      <c r="BH408" s="547"/>
      <c r="BI408" s="547"/>
      <c r="BJ408" s="547"/>
      <c r="BK408" s="547"/>
      <c r="BL408" s="547"/>
      <c r="BM408" s="547"/>
      <c r="BN408" s="547"/>
      <c r="BO408" s="547"/>
      <c r="BP408" s="547"/>
      <c r="BQ408" s="547"/>
      <c r="BR408" s="547"/>
      <c r="BS408" s="547"/>
      <c r="BT408" s="547"/>
      <c r="BU408" s="547"/>
      <c r="BV408" s="547"/>
      <c r="BW408" s="547"/>
      <c r="BX408" s="547"/>
      <c r="BY408" s="547"/>
      <c r="BZ408" s="547"/>
      <c r="CA408" s="547"/>
      <c r="CB408" s="547"/>
      <c r="CC408" s="547"/>
    </row>
    <row r="409" spans="1:81">
      <c r="A409" s="547"/>
      <c r="B409" s="547"/>
      <c r="C409" s="547"/>
      <c r="D409" s="547"/>
      <c r="E409" s="547"/>
      <c r="F409" s="547"/>
      <c r="G409" s="547"/>
      <c r="H409" s="547"/>
      <c r="I409" s="547"/>
      <c r="J409" s="547"/>
      <c r="K409" s="547"/>
      <c r="L409" s="547"/>
      <c r="M409" s="547"/>
      <c r="N409" s="547"/>
      <c r="O409" s="547"/>
      <c r="P409" s="547"/>
      <c r="Q409" s="547"/>
      <c r="R409" s="547"/>
      <c r="S409" s="547"/>
      <c r="T409" s="547"/>
      <c r="U409" s="547"/>
      <c r="V409" s="547"/>
      <c r="W409" s="547"/>
      <c r="X409" s="547"/>
      <c r="Y409" s="547"/>
      <c r="Z409" s="547"/>
      <c r="AA409" s="547"/>
      <c r="AB409" s="547"/>
      <c r="AC409" s="547"/>
      <c r="AD409" s="547"/>
      <c r="AE409" s="547"/>
      <c r="AF409" s="547"/>
      <c r="AG409" s="547"/>
      <c r="AH409" s="547"/>
      <c r="AI409" s="547"/>
      <c r="AJ409" s="547"/>
      <c r="AK409" s="547"/>
      <c r="AL409" s="547"/>
      <c r="AM409" s="547"/>
      <c r="AN409" s="547"/>
      <c r="AO409" s="547"/>
      <c r="AP409" s="547"/>
      <c r="AQ409" s="547"/>
      <c r="AR409" s="547"/>
      <c r="AS409" s="547"/>
      <c r="AT409" s="547"/>
      <c r="AU409" s="547"/>
      <c r="AV409" s="547"/>
      <c r="AW409" s="547"/>
      <c r="AX409" s="547"/>
      <c r="AY409" s="547"/>
      <c r="AZ409" s="547"/>
      <c r="BA409" s="547"/>
      <c r="BB409" s="547"/>
      <c r="BC409" s="547"/>
      <c r="BD409" s="547"/>
      <c r="BE409" s="547"/>
      <c r="BF409" s="547"/>
      <c r="BG409" s="547"/>
      <c r="BH409" s="547"/>
      <c r="BI409" s="547"/>
      <c r="BJ409" s="547"/>
      <c r="BK409" s="547"/>
      <c r="BL409" s="547"/>
      <c r="BM409" s="547"/>
      <c r="BN409" s="547"/>
      <c r="BO409" s="547"/>
      <c r="BP409" s="547"/>
      <c r="BQ409" s="547"/>
      <c r="BR409" s="547"/>
      <c r="BS409" s="547"/>
      <c r="BT409" s="547"/>
      <c r="BU409" s="547"/>
      <c r="BV409" s="547"/>
      <c r="BW409" s="547"/>
      <c r="BX409" s="547"/>
      <c r="BY409" s="547"/>
      <c r="BZ409" s="547"/>
      <c r="CA409" s="547"/>
      <c r="CB409" s="547"/>
      <c r="CC409" s="547"/>
    </row>
    <row r="410" spans="1:81">
      <c r="A410" s="547"/>
      <c r="B410" s="547"/>
      <c r="C410" s="547"/>
      <c r="D410" s="547"/>
      <c r="E410" s="547"/>
      <c r="F410" s="547"/>
      <c r="G410" s="547"/>
      <c r="H410" s="547"/>
      <c r="I410" s="547"/>
      <c r="J410" s="547"/>
      <c r="K410" s="547"/>
      <c r="L410" s="547"/>
      <c r="M410" s="547"/>
      <c r="N410" s="547"/>
      <c r="O410" s="547"/>
      <c r="P410" s="547"/>
      <c r="Q410" s="547"/>
      <c r="R410" s="547"/>
      <c r="S410" s="547"/>
      <c r="T410" s="547"/>
      <c r="U410" s="547"/>
      <c r="V410" s="547"/>
      <c r="W410" s="547"/>
      <c r="X410" s="547"/>
      <c r="Y410" s="547"/>
      <c r="Z410" s="547"/>
      <c r="AA410" s="547"/>
      <c r="AB410" s="547"/>
      <c r="AC410" s="547"/>
      <c r="AD410" s="547"/>
      <c r="AE410" s="547"/>
      <c r="AF410" s="547"/>
      <c r="AG410" s="547"/>
      <c r="AH410" s="547"/>
      <c r="AI410" s="547"/>
      <c r="AJ410" s="547"/>
      <c r="AK410" s="547"/>
      <c r="AL410" s="547"/>
      <c r="AM410" s="547"/>
      <c r="AN410" s="547"/>
      <c r="AO410" s="547"/>
      <c r="AP410" s="547"/>
      <c r="AQ410" s="547"/>
      <c r="AR410" s="547"/>
      <c r="AS410" s="547"/>
      <c r="AT410" s="547"/>
      <c r="AU410" s="547"/>
      <c r="AV410" s="547"/>
      <c r="AW410" s="547"/>
      <c r="AX410" s="547"/>
      <c r="AY410" s="547"/>
      <c r="AZ410" s="547"/>
      <c r="BA410" s="547"/>
      <c r="BB410" s="547"/>
      <c r="BC410" s="547"/>
      <c r="BD410" s="547"/>
      <c r="BE410" s="547"/>
      <c r="BF410" s="547"/>
      <c r="BG410" s="547"/>
      <c r="BH410" s="547"/>
      <c r="BI410" s="547"/>
      <c r="BJ410" s="547"/>
      <c r="BK410" s="547"/>
      <c r="BL410" s="547"/>
      <c r="BM410" s="547"/>
      <c r="BN410" s="547"/>
      <c r="BO410" s="547"/>
      <c r="BP410" s="547"/>
      <c r="BQ410" s="547"/>
      <c r="BR410" s="547"/>
      <c r="BS410" s="547"/>
      <c r="BT410" s="547"/>
      <c r="BU410" s="547"/>
      <c r="BV410" s="547"/>
      <c r="BW410" s="547"/>
      <c r="BX410" s="547"/>
      <c r="BY410" s="547"/>
      <c r="BZ410" s="547"/>
      <c r="CA410" s="547"/>
      <c r="CB410" s="547"/>
      <c r="CC410" s="547"/>
    </row>
    <row r="411" spans="1:81">
      <c r="A411" s="547"/>
      <c r="B411" s="547"/>
      <c r="C411" s="547"/>
      <c r="D411" s="547"/>
      <c r="E411" s="547"/>
      <c r="F411" s="547"/>
      <c r="G411" s="547"/>
      <c r="H411" s="547"/>
      <c r="I411" s="547"/>
      <c r="J411" s="547"/>
      <c r="K411" s="547"/>
      <c r="L411" s="547"/>
      <c r="M411" s="547"/>
      <c r="N411" s="547"/>
      <c r="O411" s="547"/>
      <c r="P411" s="547"/>
      <c r="Q411" s="547"/>
      <c r="R411" s="547"/>
      <c r="S411" s="547"/>
      <c r="T411" s="547"/>
      <c r="U411" s="547"/>
      <c r="V411" s="547"/>
      <c r="W411" s="547"/>
      <c r="X411" s="547"/>
      <c r="Y411" s="547"/>
      <c r="Z411" s="547"/>
      <c r="AA411" s="547"/>
      <c r="AB411" s="547"/>
      <c r="AC411" s="547"/>
      <c r="AD411" s="547"/>
      <c r="AE411" s="547"/>
      <c r="AF411" s="547"/>
      <c r="AG411" s="547"/>
      <c r="AH411" s="547"/>
      <c r="AI411" s="547"/>
      <c r="AJ411" s="547"/>
      <c r="AK411" s="547"/>
      <c r="AL411" s="547"/>
      <c r="AM411" s="547"/>
      <c r="AN411" s="547"/>
      <c r="AO411" s="547"/>
      <c r="AP411" s="547"/>
      <c r="AQ411" s="547"/>
      <c r="AR411" s="547"/>
      <c r="AS411" s="547"/>
      <c r="AT411" s="547"/>
      <c r="AU411" s="547"/>
      <c r="AV411" s="547"/>
      <c r="AW411" s="547"/>
      <c r="AX411" s="547"/>
      <c r="AY411" s="547"/>
      <c r="AZ411" s="547"/>
      <c r="BA411" s="547"/>
      <c r="BB411" s="547"/>
      <c r="BC411" s="547"/>
      <c r="BD411" s="547"/>
      <c r="BE411" s="547"/>
      <c r="BF411" s="547"/>
      <c r="BG411" s="547"/>
      <c r="BH411" s="547"/>
      <c r="BI411" s="547"/>
      <c r="BJ411" s="547"/>
      <c r="BK411" s="547"/>
      <c r="BL411" s="547"/>
      <c r="BM411" s="547"/>
      <c r="BN411" s="547"/>
      <c r="BO411" s="547"/>
      <c r="BP411" s="547"/>
      <c r="BQ411" s="547"/>
      <c r="BR411" s="547"/>
      <c r="BS411" s="547"/>
      <c r="BT411" s="547"/>
      <c r="BU411" s="547"/>
      <c r="BV411" s="547"/>
      <c r="BW411" s="547"/>
      <c r="BX411" s="547"/>
      <c r="BY411" s="547"/>
      <c r="BZ411" s="547"/>
      <c r="CA411" s="547"/>
      <c r="CB411" s="547"/>
      <c r="CC411" s="547"/>
    </row>
    <row r="412" spans="1:81">
      <c r="A412" s="547"/>
      <c r="B412" s="547"/>
      <c r="C412" s="547"/>
      <c r="D412" s="547"/>
      <c r="E412" s="547"/>
      <c r="F412" s="547"/>
      <c r="G412" s="547"/>
      <c r="H412" s="547"/>
      <c r="I412" s="547"/>
      <c r="J412" s="547"/>
      <c r="K412" s="547"/>
      <c r="L412" s="547"/>
      <c r="M412" s="547"/>
      <c r="N412" s="547"/>
      <c r="O412" s="547"/>
      <c r="P412" s="547"/>
      <c r="Q412" s="547"/>
      <c r="R412" s="547"/>
      <c r="S412" s="547"/>
      <c r="T412" s="547"/>
      <c r="U412" s="547"/>
      <c r="V412" s="547"/>
      <c r="W412" s="547"/>
      <c r="X412" s="547"/>
      <c r="Y412" s="547"/>
      <c r="Z412" s="547"/>
      <c r="AA412" s="547"/>
      <c r="AB412" s="547"/>
      <c r="AC412" s="547"/>
      <c r="AD412" s="547"/>
      <c r="AE412" s="547"/>
      <c r="AF412" s="547"/>
      <c r="AG412" s="547"/>
      <c r="AH412" s="547"/>
      <c r="AI412" s="547"/>
      <c r="AJ412" s="547"/>
      <c r="AK412" s="547"/>
      <c r="AL412" s="547"/>
      <c r="AM412" s="547"/>
      <c r="AN412" s="547"/>
      <c r="AO412" s="547"/>
      <c r="AP412" s="547"/>
      <c r="AQ412" s="547"/>
      <c r="AR412" s="547"/>
      <c r="AS412" s="547"/>
      <c r="AT412" s="547"/>
      <c r="AU412" s="547"/>
      <c r="AV412" s="547"/>
      <c r="AW412" s="547"/>
      <c r="AX412" s="547"/>
      <c r="AY412" s="547"/>
      <c r="AZ412" s="547"/>
      <c r="BA412" s="547"/>
      <c r="BB412" s="547"/>
      <c r="BC412" s="547"/>
      <c r="BD412" s="547"/>
      <c r="BE412" s="547"/>
      <c r="BF412" s="547"/>
      <c r="BG412" s="547"/>
      <c r="BH412" s="547"/>
      <c r="BI412" s="547"/>
      <c r="BJ412" s="547"/>
      <c r="BK412" s="547"/>
      <c r="BL412" s="547"/>
      <c r="BM412" s="547"/>
      <c r="BN412" s="547"/>
      <c r="BO412" s="547"/>
      <c r="BP412" s="547"/>
      <c r="BQ412" s="547"/>
      <c r="BR412" s="547"/>
      <c r="BS412" s="547"/>
      <c r="BT412" s="547"/>
      <c r="BU412" s="547"/>
      <c r="BV412" s="547"/>
      <c r="BW412" s="547"/>
      <c r="BX412" s="547"/>
      <c r="BY412" s="547"/>
      <c r="BZ412" s="547"/>
      <c r="CA412" s="547"/>
      <c r="CB412" s="547"/>
      <c r="CC412" s="547"/>
    </row>
    <row r="413" spans="1:81">
      <c r="A413" s="547"/>
      <c r="B413" s="547"/>
      <c r="C413" s="547"/>
      <c r="D413" s="547"/>
      <c r="E413" s="547"/>
      <c r="F413" s="547"/>
      <c r="G413" s="547"/>
      <c r="H413" s="547"/>
      <c r="I413" s="547"/>
      <c r="J413" s="547"/>
      <c r="K413" s="547"/>
      <c r="L413" s="547"/>
      <c r="M413" s="547"/>
      <c r="N413" s="547"/>
      <c r="O413" s="547"/>
      <c r="P413" s="547"/>
      <c r="Q413" s="547"/>
      <c r="R413" s="547"/>
      <c r="S413" s="547"/>
      <c r="T413" s="547"/>
      <c r="U413" s="547"/>
      <c r="V413" s="547"/>
      <c r="W413" s="547"/>
      <c r="X413" s="547"/>
      <c r="Y413" s="547"/>
      <c r="Z413" s="547"/>
      <c r="AA413" s="547"/>
      <c r="AB413" s="547"/>
      <c r="AC413" s="547"/>
      <c r="AD413" s="547"/>
      <c r="AE413" s="547"/>
      <c r="AF413" s="547"/>
      <c r="AG413" s="547"/>
      <c r="AH413" s="547"/>
      <c r="AI413" s="547"/>
      <c r="AJ413" s="547"/>
      <c r="AK413" s="547"/>
      <c r="AL413" s="547"/>
      <c r="AM413" s="547"/>
      <c r="AN413" s="547"/>
      <c r="AO413" s="547"/>
      <c r="AP413" s="547"/>
      <c r="AQ413" s="547"/>
      <c r="AR413" s="547"/>
      <c r="AS413" s="547"/>
      <c r="AT413" s="547"/>
      <c r="AU413" s="547"/>
      <c r="AV413" s="547"/>
      <c r="AW413" s="547"/>
      <c r="AX413" s="547"/>
      <c r="AY413" s="547"/>
      <c r="AZ413" s="547"/>
      <c r="BA413" s="547"/>
      <c r="BB413" s="547"/>
      <c r="BC413" s="547"/>
      <c r="BD413" s="547"/>
      <c r="BE413" s="547"/>
      <c r="BF413" s="547"/>
      <c r="BG413" s="547"/>
      <c r="BH413" s="547"/>
      <c r="BI413" s="547"/>
      <c r="BJ413" s="547"/>
      <c r="BK413" s="547"/>
      <c r="BL413" s="547"/>
      <c r="BM413" s="547"/>
      <c r="BN413" s="547"/>
      <c r="BO413" s="547"/>
      <c r="BP413" s="547"/>
      <c r="BQ413" s="547"/>
      <c r="BR413" s="547"/>
      <c r="BS413" s="547"/>
      <c r="BT413" s="547"/>
      <c r="BU413" s="547"/>
      <c r="BV413" s="547"/>
      <c r="BW413" s="547"/>
      <c r="BX413" s="547"/>
      <c r="BY413" s="547"/>
      <c r="BZ413" s="547"/>
      <c r="CA413" s="547"/>
      <c r="CB413" s="547"/>
      <c r="CC413" s="547"/>
    </row>
    <row r="414" spans="1:81">
      <c r="A414" s="547"/>
      <c r="B414" s="547"/>
      <c r="C414" s="547"/>
      <c r="D414" s="547"/>
      <c r="E414" s="547"/>
      <c r="F414" s="547"/>
      <c r="G414" s="547"/>
      <c r="H414" s="547"/>
      <c r="I414" s="547"/>
      <c r="J414" s="547"/>
      <c r="K414" s="547"/>
      <c r="L414" s="547"/>
      <c r="M414" s="547"/>
      <c r="N414" s="547"/>
      <c r="O414" s="547"/>
      <c r="P414" s="547"/>
      <c r="Q414" s="547"/>
      <c r="R414" s="547"/>
      <c r="S414" s="547"/>
      <c r="T414" s="547"/>
      <c r="U414" s="547"/>
      <c r="V414" s="547"/>
      <c r="W414" s="547"/>
      <c r="X414" s="547"/>
      <c r="Y414" s="547"/>
      <c r="Z414" s="547"/>
      <c r="AA414" s="547"/>
      <c r="AB414" s="547"/>
      <c r="AC414" s="547"/>
      <c r="AD414" s="547"/>
      <c r="AE414" s="547"/>
      <c r="AF414" s="547"/>
      <c r="AG414" s="547"/>
      <c r="AH414" s="547"/>
      <c r="AI414" s="547"/>
      <c r="AJ414" s="547"/>
      <c r="AK414" s="547"/>
      <c r="AL414" s="547"/>
      <c r="AM414" s="547"/>
      <c r="AN414" s="547"/>
      <c r="AO414" s="547"/>
      <c r="AP414" s="547"/>
      <c r="AQ414" s="547"/>
      <c r="AR414" s="547"/>
      <c r="AS414" s="547"/>
      <c r="AT414" s="547"/>
      <c r="AU414" s="547"/>
      <c r="AV414" s="547"/>
      <c r="AW414" s="547"/>
      <c r="AX414" s="547"/>
      <c r="AY414" s="547"/>
      <c r="AZ414" s="547"/>
      <c r="BA414" s="547"/>
      <c r="BB414" s="547"/>
      <c r="BC414" s="547"/>
      <c r="BD414" s="547"/>
      <c r="BE414" s="547"/>
      <c r="BF414" s="547"/>
      <c r="BG414" s="547"/>
      <c r="BH414" s="547"/>
      <c r="BI414" s="547"/>
      <c r="BJ414" s="547"/>
      <c r="BK414" s="547"/>
      <c r="BL414" s="547"/>
      <c r="BM414" s="547"/>
      <c r="BN414" s="547"/>
      <c r="BO414" s="547"/>
      <c r="BP414" s="547"/>
      <c r="BQ414" s="547"/>
      <c r="BR414" s="547"/>
      <c r="BS414" s="547"/>
      <c r="BT414" s="547"/>
      <c r="BU414" s="547"/>
      <c r="BV414" s="547"/>
      <c r="BW414" s="547"/>
      <c r="BX414" s="547"/>
      <c r="BY414" s="547"/>
      <c r="BZ414" s="547"/>
      <c r="CA414" s="547"/>
      <c r="CB414" s="547"/>
      <c r="CC414" s="547"/>
    </row>
    <row r="415" spans="1:81">
      <c r="A415" s="547"/>
      <c r="B415" s="547"/>
      <c r="C415" s="547"/>
      <c r="D415" s="547"/>
      <c r="E415" s="547"/>
      <c r="F415" s="547"/>
      <c r="G415" s="547"/>
      <c r="H415" s="547"/>
      <c r="I415" s="547"/>
      <c r="J415" s="547"/>
      <c r="K415" s="547"/>
      <c r="L415" s="547"/>
      <c r="M415" s="547"/>
      <c r="N415" s="547"/>
      <c r="O415" s="547"/>
      <c r="P415" s="547"/>
      <c r="Q415" s="547"/>
      <c r="R415" s="547"/>
      <c r="S415" s="547"/>
      <c r="T415" s="547"/>
      <c r="U415" s="547"/>
      <c r="V415" s="547"/>
      <c r="W415" s="547"/>
      <c r="X415" s="547"/>
      <c r="Y415" s="547"/>
      <c r="Z415" s="547"/>
      <c r="AA415" s="547"/>
      <c r="AB415" s="547"/>
      <c r="AC415" s="547"/>
      <c r="AD415" s="547"/>
      <c r="AE415" s="547"/>
      <c r="AF415" s="547"/>
      <c r="AG415" s="547"/>
      <c r="AH415" s="547"/>
      <c r="AI415" s="547"/>
      <c r="AJ415" s="547"/>
      <c r="AK415" s="547"/>
      <c r="AL415" s="547"/>
      <c r="AM415" s="547"/>
      <c r="AN415" s="547"/>
      <c r="AO415" s="547"/>
      <c r="AP415" s="547"/>
      <c r="AQ415" s="547"/>
      <c r="AR415" s="547"/>
      <c r="AS415" s="547"/>
      <c r="AT415" s="547"/>
      <c r="AU415" s="547"/>
      <c r="AV415" s="547"/>
      <c r="AW415" s="547"/>
      <c r="AX415" s="547"/>
      <c r="AY415" s="547"/>
      <c r="AZ415" s="547"/>
      <c r="BA415" s="547"/>
      <c r="BB415" s="547"/>
      <c r="BC415" s="547"/>
      <c r="BD415" s="547"/>
      <c r="BE415" s="547"/>
      <c r="BF415" s="547"/>
      <c r="BG415" s="547"/>
      <c r="BH415" s="547"/>
      <c r="BI415" s="547"/>
      <c r="BJ415" s="547"/>
      <c r="BK415" s="547"/>
      <c r="BL415" s="547"/>
      <c r="BM415" s="547"/>
      <c r="BN415" s="547"/>
      <c r="BO415" s="547"/>
      <c r="BP415" s="547"/>
      <c r="BQ415" s="547"/>
      <c r="BR415" s="547"/>
      <c r="BS415" s="547"/>
      <c r="BT415" s="547"/>
      <c r="BU415" s="547"/>
      <c r="BV415" s="547"/>
      <c r="BW415" s="547"/>
      <c r="BX415" s="547"/>
      <c r="BY415" s="547"/>
      <c r="BZ415" s="547"/>
      <c r="CA415" s="547"/>
      <c r="CB415" s="547"/>
      <c r="CC415" s="547"/>
    </row>
    <row r="416" spans="1:81">
      <c r="A416" s="547"/>
      <c r="B416" s="547"/>
      <c r="C416" s="547"/>
      <c r="D416" s="547"/>
      <c r="E416" s="547"/>
      <c r="F416" s="547"/>
      <c r="G416" s="547"/>
      <c r="H416" s="547"/>
      <c r="I416" s="547"/>
      <c r="J416" s="547"/>
      <c r="K416" s="547"/>
      <c r="L416" s="547"/>
      <c r="M416" s="547"/>
      <c r="N416" s="547"/>
      <c r="O416" s="547"/>
      <c r="P416" s="547"/>
      <c r="Q416" s="547"/>
      <c r="R416" s="547"/>
      <c r="S416" s="547"/>
      <c r="T416" s="547"/>
      <c r="U416" s="547"/>
      <c r="V416" s="547"/>
      <c r="W416" s="547"/>
      <c r="X416" s="547"/>
      <c r="Y416" s="547"/>
      <c r="Z416" s="547"/>
      <c r="AA416" s="547"/>
      <c r="AB416" s="547"/>
      <c r="AC416" s="547"/>
      <c r="AD416" s="547"/>
      <c r="AE416" s="547"/>
      <c r="AF416" s="547"/>
      <c r="AG416" s="547"/>
      <c r="AH416" s="547"/>
      <c r="AI416" s="547"/>
      <c r="AJ416" s="547"/>
      <c r="AK416" s="547"/>
      <c r="AL416" s="547"/>
      <c r="AM416" s="547"/>
      <c r="AN416" s="547"/>
      <c r="AO416" s="547"/>
      <c r="AP416" s="547"/>
      <c r="AQ416" s="547"/>
      <c r="AR416" s="547"/>
      <c r="AS416" s="547"/>
      <c r="AT416" s="547"/>
      <c r="AU416" s="547"/>
      <c r="AV416" s="547"/>
      <c r="AW416" s="547"/>
      <c r="AX416" s="547"/>
      <c r="AY416" s="547"/>
      <c r="AZ416" s="547"/>
      <c r="BA416" s="547"/>
      <c r="BB416" s="547"/>
      <c r="BC416" s="547"/>
      <c r="BD416" s="547"/>
      <c r="BE416" s="547"/>
      <c r="BF416" s="547"/>
      <c r="BG416" s="547"/>
      <c r="BH416" s="547"/>
      <c r="BI416" s="547"/>
      <c r="BJ416" s="547"/>
      <c r="BK416" s="547"/>
      <c r="BL416" s="547"/>
      <c r="BM416" s="547"/>
      <c r="BN416" s="547"/>
      <c r="BO416" s="547"/>
      <c r="BP416" s="547"/>
      <c r="BQ416" s="547"/>
      <c r="BR416" s="547"/>
      <c r="BS416" s="547"/>
      <c r="BT416" s="547"/>
      <c r="BU416" s="547"/>
      <c r="BV416" s="547"/>
      <c r="BW416" s="547"/>
      <c r="BX416" s="547"/>
      <c r="BY416" s="547"/>
      <c r="BZ416" s="547"/>
      <c r="CA416" s="547"/>
      <c r="CB416" s="547"/>
      <c r="CC416" s="547"/>
    </row>
    <row r="417" spans="1:81">
      <c r="A417" s="547"/>
      <c r="B417" s="547"/>
      <c r="C417" s="547"/>
      <c r="D417" s="547"/>
      <c r="E417" s="547"/>
      <c r="F417" s="547"/>
      <c r="G417" s="547"/>
      <c r="H417" s="547"/>
      <c r="I417" s="547"/>
      <c r="J417" s="547"/>
      <c r="K417" s="547"/>
      <c r="L417" s="547"/>
      <c r="M417" s="547"/>
      <c r="N417" s="547"/>
      <c r="O417" s="547"/>
      <c r="P417" s="547"/>
      <c r="Q417" s="547"/>
      <c r="R417" s="547"/>
      <c r="S417" s="547"/>
      <c r="T417" s="547"/>
      <c r="U417" s="547"/>
      <c r="V417" s="547"/>
      <c r="W417" s="547"/>
      <c r="X417" s="547"/>
      <c r="Y417" s="547"/>
      <c r="Z417" s="547"/>
      <c r="AA417" s="547"/>
      <c r="AB417" s="547"/>
      <c r="AC417" s="547"/>
      <c r="AD417" s="547"/>
      <c r="AE417" s="547"/>
      <c r="AF417" s="547"/>
      <c r="AG417" s="547"/>
      <c r="AH417" s="547"/>
      <c r="AI417" s="547"/>
      <c r="AJ417" s="547"/>
      <c r="AK417" s="547"/>
      <c r="AL417" s="547"/>
      <c r="AM417" s="547"/>
      <c r="AN417" s="547"/>
      <c r="AO417" s="547"/>
      <c r="AP417" s="547"/>
      <c r="AQ417" s="547"/>
      <c r="AR417" s="547"/>
      <c r="AS417" s="547"/>
      <c r="AT417" s="547"/>
      <c r="AU417" s="547"/>
      <c r="AV417" s="547"/>
      <c r="AW417" s="547"/>
      <c r="AX417" s="547"/>
      <c r="AY417" s="547"/>
      <c r="AZ417" s="547"/>
      <c r="BA417" s="547"/>
      <c r="BB417" s="547"/>
      <c r="BC417" s="547"/>
      <c r="BD417" s="547"/>
      <c r="BE417" s="547"/>
      <c r="BF417" s="547"/>
      <c r="BG417" s="547"/>
      <c r="BH417" s="547"/>
      <c r="BI417" s="547"/>
      <c r="BJ417" s="547"/>
      <c r="BK417" s="547"/>
      <c r="BL417" s="547"/>
      <c r="BM417" s="547"/>
      <c r="BN417" s="547"/>
      <c r="BO417" s="547"/>
      <c r="BP417" s="547"/>
      <c r="BQ417" s="547"/>
      <c r="BR417" s="547"/>
      <c r="BS417" s="547"/>
      <c r="BT417" s="547"/>
      <c r="BU417" s="547"/>
      <c r="BV417" s="547"/>
      <c r="BW417" s="547"/>
      <c r="BX417" s="547"/>
      <c r="BY417" s="547"/>
      <c r="BZ417" s="547"/>
      <c r="CA417" s="547"/>
      <c r="CB417" s="547"/>
      <c r="CC417" s="547"/>
    </row>
    <row r="418" spans="1:81">
      <c r="A418" s="547"/>
      <c r="B418" s="547"/>
      <c r="C418" s="547"/>
      <c r="D418" s="547"/>
      <c r="E418" s="547"/>
      <c r="F418" s="547"/>
      <c r="G418" s="547"/>
      <c r="H418" s="547"/>
      <c r="I418" s="547"/>
      <c r="J418" s="547"/>
      <c r="K418" s="547"/>
      <c r="L418" s="547"/>
      <c r="M418" s="547"/>
      <c r="N418" s="547"/>
      <c r="O418" s="547"/>
      <c r="P418" s="547"/>
      <c r="Q418" s="547"/>
      <c r="R418" s="547"/>
      <c r="S418" s="547"/>
      <c r="T418" s="547"/>
      <c r="U418" s="547"/>
      <c r="V418" s="547"/>
      <c r="W418" s="547"/>
      <c r="X418" s="547"/>
      <c r="Y418" s="547"/>
      <c r="Z418" s="547"/>
      <c r="AA418" s="547"/>
      <c r="AB418" s="547"/>
      <c r="AC418" s="547"/>
      <c r="AD418" s="547"/>
      <c r="AE418" s="547"/>
      <c r="AF418" s="547"/>
      <c r="AG418" s="547"/>
      <c r="AH418" s="547"/>
      <c r="AI418" s="547"/>
      <c r="AJ418" s="547"/>
      <c r="AK418" s="547"/>
      <c r="AL418" s="547"/>
      <c r="AM418" s="547"/>
      <c r="AN418" s="547"/>
      <c r="AO418" s="547"/>
      <c r="AP418" s="547"/>
      <c r="AQ418" s="547"/>
      <c r="AR418" s="547"/>
      <c r="AS418" s="547"/>
      <c r="AT418" s="547"/>
      <c r="AU418" s="547"/>
      <c r="AV418" s="547"/>
      <c r="AW418" s="547"/>
      <c r="AX418" s="547"/>
      <c r="AY418" s="547"/>
      <c r="AZ418" s="547"/>
      <c r="BA418" s="547"/>
      <c r="BB418" s="547"/>
      <c r="BC418" s="547"/>
      <c r="BD418" s="547"/>
      <c r="BE418" s="547"/>
      <c r="BF418" s="547"/>
      <c r="BG418" s="547"/>
      <c r="BH418" s="547"/>
      <c r="BI418" s="547"/>
      <c r="BJ418" s="547"/>
      <c r="BK418" s="547"/>
      <c r="BL418" s="547"/>
      <c r="BM418" s="547"/>
      <c r="BN418" s="547"/>
      <c r="BO418" s="547"/>
      <c r="BP418" s="547"/>
      <c r="BQ418" s="547"/>
      <c r="BR418" s="547"/>
      <c r="BS418" s="547"/>
      <c r="BT418" s="547"/>
      <c r="BU418" s="547"/>
      <c r="BV418" s="547"/>
      <c r="BW418" s="547"/>
      <c r="BX418" s="547"/>
      <c r="BY418" s="547"/>
      <c r="BZ418" s="547"/>
      <c r="CA418" s="547"/>
      <c r="CB418" s="547"/>
      <c r="CC418" s="547"/>
    </row>
    <row r="419" spans="1:81">
      <c r="A419" s="547"/>
      <c r="B419" s="547"/>
      <c r="C419" s="547"/>
      <c r="D419" s="547"/>
      <c r="E419" s="547"/>
      <c r="F419" s="547"/>
      <c r="G419" s="547"/>
      <c r="H419" s="547"/>
      <c r="I419" s="547"/>
      <c r="J419" s="547"/>
      <c r="K419" s="547"/>
      <c r="L419" s="547"/>
      <c r="M419" s="547"/>
      <c r="N419" s="547"/>
      <c r="O419" s="547"/>
      <c r="P419" s="547"/>
      <c r="Q419" s="547"/>
      <c r="R419" s="547"/>
      <c r="S419" s="547"/>
      <c r="T419" s="547"/>
      <c r="U419" s="547"/>
      <c r="V419" s="547"/>
      <c r="W419" s="547"/>
      <c r="X419" s="547"/>
      <c r="Y419" s="547"/>
      <c r="Z419" s="547"/>
      <c r="AA419" s="547"/>
      <c r="AB419" s="547"/>
      <c r="AC419" s="547"/>
      <c r="AD419" s="547"/>
      <c r="AE419" s="547"/>
      <c r="AF419" s="547"/>
      <c r="AG419" s="547"/>
      <c r="AH419" s="547"/>
      <c r="AI419" s="547"/>
      <c r="AJ419" s="547"/>
      <c r="AK419" s="547"/>
      <c r="AL419" s="547"/>
      <c r="AM419" s="547"/>
      <c r="AN419" s="547"/>
      <c r="AO419" s="547"/>
      <c r="AP419" s="547"/>
      <c r="AQ419" s="547"/>
      <c r="AR419" s="547"/>
      <c r="AS419" s="547"/>
      <c r="AT419" s="547"/>
      <c r="AU419" s="547"/>
      <c r="AV419" s="547"/>
      <c r="AW419" s="547"/>
      <c r="AX419" s="547"/>
      <c r="AY419" s="547"/>
      <c r="AZ419" s="547"/>
      <c r="BA419" s="547"/>
      <c r="BB419" s="547"/>
      <c r="BC419" s="547"/>
      <c r="BD419" s="547"/>
      <c r="BE419" s="547"/>
      <c r="BF419" s="547"/>
      <c r="BG419" s="547"/>
      <c r="BH419" s="547"/>
      <c r="BI419" s="547"/>
      <c r="BJ419" s="547"/>
      <c r="BK419" s="547"/>
      <c r="BL419" s="547"/>
      <c r="BM419" s="547"/>
      <c r="BN419" s="547"/>
      <c r="BO419" s="547"/>
      <c r="BP419" s="547"/>
      <c r="BQ419" s="547"/>
      <c r="BR419" s="547"/>
      <c r="BS419" s="547"/>
      <c r="BT419" s="547"/>
      <c r="BU419" s="547"/>
      <c r="BV419" s="547"/>
      <c r="BW419" s="547"/>
      <c r="BX419" s="547"/>
      <c r="BY419" s="547"/>
      <c r="BZ419" s="547"/>
      <c r="CA419" s="547"/>
      <c r="CB419" s="547"/>
      <c r="CC419" s="547"/>
    </row>
    <row r="420" spans="1:81">
      <c r="A420" s="547"/>
      <c r="B420" s="547"/>
      <c r="C420" s="547"/>
      <c r="D420" s="547"/>
      <c r="E420" s="547"/>
      <c r="F420" s="547"/>
      <c r="G420" s="547"/>
      <c r="H420" s="547"/>
      <c r="I420" s="547"/>
      <c r="J420" s="547"/>
      <c r="K420" s="547"/>
      <c r="L420" s="547"/>
      <c r="M420" s="547"/>
      <c r="N420" s="547"/>
      <c r="O420" s="547"/>
      <c r="P420" s="547"/>
      <c r="Q420" s="547"/>
      <c r="R420" s="547"/>
      <c r="S420" s="547"/>
      <c r="T420" s="547"/>
      <c r="U420" s="547"/>
      <c r="V420" s="547"/>
      <c r="W420" s="547"/>
      <c r="X420" s="547"/>
      <c r="Y420" s="547"/>
      <c r="Z420" s="547"/>
      <c r="AA420" s="547"/>
      <c r="AB420" s="547"/>
      <c r="AC420" s="547"/>
      <c r="AD420" s="547"/>
      <c r="AE420" s="547"/>
      <c r="AF420" s="547"/>
      <c r="AG420" s="547"/>
      <c r="AH420" s="547"/>
      <c r="AI420" s="547"/>
      <c r="AJ420" s="547"/>
      <c r="AK420" s="547"/>
      <c r="AL420" s="547"/>
      <c r="AM420" s="547"/>
      <c r="AN420" s="547"/>
      <c r="AO420" s="547"/>
      <c r="AP420" s="547"/>
      <c r="AQ420" s="547"/>
      <c r="AR420" s="547"/>
      <c r="AS420" s="547"/>
      <c r="AT420" s="547"/>
      <c r="AU420" s="547"/>
      <c r="AV420" s="547"/>
      <c r="AW420" s="547"/>
      <c r="AX420" s="547"/>
      <c r="AY420" s="547"/>
      <c r="AZ420" s="547"/>
      <c r="BA420" s="547"/>
      <c r="BB420" s="547"/>
      <c r="BC420" s="547"/>
      <c r="BD420" s="547"/>
      <c r="BE420" s="547"/>
      <c r="BF420" s="547"/>
      <c r="BG420" s="547"/>
      <c r="BH420" s="547"/>
      <c r="BI420" s="547"/>
      <c r="BJ420" s="547"/>
      <c r="BK420" s="547"/>
      <c r="BL420" s="547"/>
      <c r="BM420" s="547"/>
      <c r="BN420" s="547"/>
      <c r="BO420" s="547"/>
      <c r="BP420" s="547"/>
      <c r="BQ420" s="547"/>
      <c r="BR420" s="547"/>
      <c r="BS420" s="547"/>
      <c r="BT420" s="547"/>
      <c r="BU420" s="547"/>
      <c r="BV420" s="547"/>
      <c r="BW420" s="547"/>
      <c r="BX420" s="547"/>
      <c r="BY420" s="547"/>
      <c r="BZ420" s="547"/>
      <c r="CA420" s="547"/>
      <c r="CB420" s="547"/>
      <c r="CC420" s="547"/>
    </row>
    <row r="421" spans="1:81">
      <c r="A421" s="547"/>
      <c r="B421" s="547"/>
      <c r="C421" s="547"/>
      <c r="D421" s="547"/>
      <c r="E421" s="547"/>
      <c r="F421" s="547"/>
      <c r="G421" s="547"/>
      <c r="H421" s="547"/>
      <c r="I421" s="547"/>
      <c r="J421" s="547"/>
      <c r="K421" s="547"/>
      <c r="L421" s="547"/>
      <c r="M421" s="547"/>
      <c r="N421" s="547"/>
      <c r="O421" s="547"/>
      <c r="P421" s="547"/>
      <c r="Q421" s="547"/>
      <c r="R421" s="547"/>
      <c r="S421" s="547"/>
      <c r="T421" s="547"/>
      <c r="U421" s="547"/>
      <c r="V421" s="547"/>
      <c r="W421" s="547"/>
      <c r="X421" s="547"/>
      <c r="Y421" s="547"/>
      <c r="Z421" s="547"/>
      <c r="AA421" s="547"/>
      <c r="AB421" s="547"/>
      <c r="AC421" s="547"/>
      <c r="AD421" s="547"/>
      <c r="AE421" s="547"/>
      <c r="AF421" s="547"/>
      <c r="AG421" s="547"/>
      <c r="AH421" s="547"/>
      <c r="AI421" s="547"/>
      <c r="AJ421" s="547"/>
      <c r="AK421" s="547"/>
      <c r="AL421" s="547"/>
      <c r="AM421" s="547"/>
      <c r="AN421" s="547"/>
      <c r="AO421" s="547"/>
      <c r="AP421" s="547"/>
      <c r="AQ421" s="547"/>
      <c r="AR421" s="547"/>
      <c r="AS421" s="547"/>
      <c r="AT421" s="547"/>
      <c r="AU421" s="547"/>
      <c r="AV421" s="547"/>
      <c r="AW421" s="547"/>
      <c r="AX421" s="547"/>
      <c r="AY421" s="547"/>
      <c r="AZ421" s="547"/>
      <c r="BA421" s="547"/>
      <c r="BB421" s="547"/>
      <c r="BC421" s="547"/>
      <c r="BD421" s="547"/>
      <c r="BE421" s="547"/>
      <c r="BF421" s="547"/>
      <c r="BG421" s="547"/>
      <c r="BH421" s="547"/>
      <c r="BI421" s="547"/>
      <c r="BJ421" s="547"/>
      <c r="BK421" s="547"/>
      <c r="BL421" s="547"/>
      <c r="BM421" s="547"/>
      <c r="BN421" s="547"/>
      <c r="BO421" s="547"/>
      <c r="BP421" s="547"/>
      <c r="BQ421" s="547"/>
      <c r="BR421" s="547"/>
      <c r="BS421" s="547"/>
      <c r="BT421" s="547"/>
      <c r="BU421" s="547"/>
      <c r="BV421" s="547"/>
      <c r="BW421" s="547"/>
      <c r="BX421" s="547"/>
      <c r="BY421" s="547"/>
      <c r="BZ421" s="547"/>
      <c r="CA421" s="547"/>
      <c r="CB421" s="547"/>
      <c r="CC421" s="547"/>
    </row>
    <row r="422" spans="1:81">
      <c r="A422" s="547"/>
      <c r="B422" s="547"/>
      <c r="C422" s="547"/>
      <c r="D422" s="547"/>
      <c r="E422" s="547"/>
      <c r="F422" s="547"/>
      <c r="G422" s="547"/>
      <c r="H422" s="547"/>
      <c r="I422" s="547"/>
      <c r="J422" s="547"/>
      <c r="K422" s="547"/>
      <c r="L422" s="547"/>
      <c r="M422" s="547"/>
      <c r="N422" s="547"/>
      <c r="O422" s="547"/>
      <c r="P422" s="547"/>
      <c r="Q422" s="547"/>
      <c r="R422" s="547"/>
      <c r="S422" s="547"/>
      <c r="T422" s="547"/>
      <c r="U422" s="547"/>
      <c r="V422" s="547"/>
      <c r="W422" s="547"/>
      <c r="X422" s="547"/>
      <c r="Y422" s="547"/>
      <c r="Z422" s="547"/>
      <c r="AA422" s="547"/>
      <c r="AB422" s="547"/>
      <c r="AC422" s="547"/>
      <c r="AD422" s="547"/>
      <c r="AE422" s="547"/>
      <c r="AF422" s="547"/>
      <c r="AG422" s="547"/>
      <c r="AH422" s="547"/>
      <c r="AI422" s="547"/>
      <c r="AJ422" s="547"/>
      <c r="AK422" s="547"/>
      <c r="AL422" s="547"/>
      <c r="AM422" s="547"/>
      <c r="AN422" s="547"/>
      <c r="AO422" s="547"/>
      <c r="AP422" s="547"/>
      <c r="AQ422" s="547"/>
      <c r="AR422" s="547"/>
      <c r="AS422" s="547"/>
      <c r="AT422" s="547"/>
      <c r="AU422" s="547"/>
      <c r="AV422" s="547"/>
      <c r="AW422" s="547"/>
      <c r="AX422" s="547"/>
      <c r="AY422" s="547"/>
      <c r="AZ422" s="547"/>
      <c r="BA422" s="547"/>
      <c r="BB422" s="547"/>
      <c r="BC422" s="547"/>
      <c r="BD422" s="547"/>
      <c r="BE422" s="547"/>
      <c r="BF422" s="547"/>
      <c r="BG422" s="547"/>
      <c r="BH422" s="547"/>
      <c r="BI422" s="547"/>
      <c r="BJ422" s="547"/>
      <c r="BK422" s="547"/>
      <c r="BL422" s="547"/>
      <c r="BM422" s="547"/>
      <c r="BN422" s="547"/>
      <c r="BO422" s="547"/>
      <c r="BP422" s="547"/>
      <c r="BQ422" s="547"/>
      <c r="BR422" s="547"/>
      <c r="BS422" s="547"/>
      <c r="BT422" s="547"/>
      <c r="BU422" s="547"/>
      <c r="BV422" s="547"/>
      <c r="BW422" s="547"/>
      <c r="BX422" s="547"/>
      <c r="BY422" s="547"/>
      <c r="BZ422" s="547"/>
      <c r="CA422" s="547"/>
      <c r="CB422" s="547"/>
      <c r="CC422" s="547"/>
    </row>
    <row r="423" spans="1:81">
      <c r="A423" s="547"/>
      <c r="B423" s="547"/>
      <c r="C423" s="547"/>
      <c r="D423" s="547"/>
      <c r="E423" s="547"/>
      <c r="F423" s="547"/>
      <c r="G423" s="547"/>
      <c r="H423" s="547"/>
      <c r="I423" s="547"/>
      <c r="J423" s="547"/>
      <c r="K423" s="547"/>
      <c r="L423" s="547"/>
      <c r="M423" s="547"/>
      <c r="N423" s="547"/>
      <c r="O423" s="547"/>
      <c r="P423" s="547"/>
      <c r="Q423" s="547"/>
      <c r="R423" s="547"/>
      <c r="S423" s="547"/>
      <c r="T423" s="547"/>
      <c r="U423" s="547"/>
      <c r="V423" s="547"/>
      <c r="W423" s="547"/>
      <c r="X423" s="547"/>
      <c r="Y423" s="547"/>
      <c r="Z423" s="547"/>
      <c r="AA423" s="547"/>
      <c r="AB423" s="547"/>
      <c r="AC423" s="547"/>
      <c r="AD423" s="547"/>
      <c r="AE423" s="547"/>
      <c r="AF423" s="547"/>
      <c r="AG423" s="547"/>
      <c r="AH423" s="547"/>
      <c r="AI423" s="547"/>
      <c r="AJ423" s="547"/>
      <c r="AK423" s="547"/>
      <c r="AL423" s="547"/>
      <c r="AM423" s="547"/>
      <c r="AN423" s="547"/>
      <c r="AO423" s="547"/>
      <c r="AP423" s="547"/>
      <c r="AQ423" s="547"/>
      <c r="AR423" s="547"/>
      <c r="AS423" s="547"/>
      <c r="AT423" s="547"/>
      <c r="AU423" s="547"/>
      <c r="AV423" s="547"/>
      <c r="AW423" s="547"/>
      <c r="AX423" s="547"/>
      <c r="AY423" s="547"/>
      <c r="AZ423" s="547"/>
      <c r="BA423" s="547"/>
      <c r="BB423" s="547"/>
      <c r="BC423" s="547"/>
      <c r="BD423" s="547"/>
      <c r="BE423" s="547"/>
      <c r="BF423" s="547"/>
      <c r="BG423" s="547"/>
      <c r="BH423" s="547"/>
      <c r="BI423" s="547"/>
      <c r="BJ423" s="547"/>
      <c r="BK423" s="547"/>
      <c r="BL423" s="547"/>
      <c r="BM423" s="547"/>
      <c r="BN423" s="547"/>
      <c r="BO423" s="547"/>
      <c r="BP423" s="547"/>
      <c r="BQ423" s="547"/>
      <c r="BR423" s="547"/>
      <c r="BS423" s="547"/>
      <c r="BT423" s="547"/>
      <c r="BU423" s="547"/>
      <c r="BV423" s="547"/>
      <c r="BW423" s="547"/>
      <c r="BX423" s="547"/>
      <c r="BY423" s="547"/>
      <c r="BZ423" s="547"/>
      <c r="CA423" s="547"/>
      <c r="CB423" s="547"/>
      <c r="CC423" s="547"/>
    </row>
    <row r="424" spans="1:81">
      <c r="A424" s="547"/>
      <c r="B424" s="547"/>
      <c r="C424" s="547"/>
      <c r="D424" s="547"/>
      <c r="E424" s="547"/>
      <c r="F424" s="547"/>
      <c r="G424" s="547"/>
      <c r="H424" s="547"/>
      <c r="I424" s="547"/>
      <c r="J424" s="547"/>
      <c r="K424" s="547"/>
      <c r="L424" s="547"/>
      <c r="M424" s="547"/>
      <c r="N424" s="547"/>
      <c r="O424" s="547"/>
      <c r="P424" s="547"/>
      <c r="Q424" s="547"/>
      <c r="R424" s="547"/>
      <c r="S424" s="547"/>
      <c r="T424" s="547"/>
      <c r="U424" s="547"/>
      <c r="V424" s="547"/>
      <c r="W424" s="547"/>
      <c r="X424" s="547"/>
      <c r="Y424" s="547"/>
      <c r="Z424" s="547"/>
      <c r="AA424" s="547"/>
      <c r="AB424" s="547"/>
      <c r="AC424" s="547"/>
      <c r="AD424" s="547"/>
      <c r="AE424" s="547"/>
      <c r="AF424" s="547"/>
      <c r="AG424" s="547"/>
      <c r="AH424" s="547"/>
      <c r="AI424" s="547"/>
      <c r="AJ424" s="547"/>
      <c r="AK424" s="547"/>
      <c r="AL424" s="547"/>
      <c r="AM424" s="547"/>
      <c r="AN424" s="547"/>
      <c r="AO424" s="547"/>
      <c r="AP424" s="547"/>
      <c r="AQ424" s="547"/>
      <c r="AR424" s="547"/>
      <c r="AS424" s="547"/>
      <c r="AT424" s="547"/>
      <c r="AU424" s="547"/>
      <c r="AV424" s="547"/>
      <c r="AW424" s="547"/>
      <c r="AX424" s="547"/>
      <c r="AY424" s="547"/>
      <c r="AZ424" s="547"/>
      <c r="BA424" s="547"/>
      <c r="BB424" s="547"/>
      <c r="BC424" s="547"/>
      <c r="BD424" s="547"/>
      <c r="BE424" s="547"/>
      <c r="BF424" s="547"/>
      <c r="BG424" s="547"/>
      <c r="BH424" s="547"/>
      <c r="BI424" s="547"/>
      <c r="BJ424" s="547"/>
      <c r="BK424" s="547"/>
      <c r="BL424" s="547"/>
      <c r="BM424" s="547"/>
      <c r="BN424" s="547"/>
      <c r="BO424" s="547"/>
      <c r="BP424" s="547"/>
      <c r="BQ424" s="547"/>
      <c r="BR424" s="547"/>
      <c r="BS424" s="547"/>
      <c r="BT424" s="547"/>
      <c r="BU424" s="547"/>
      <c r="BV424" s="547"/>
      <c r="BW424" s="547"/>
      <c r="BX424" s="547"/>
      <c r="BY424" s="547"/>
      <c r="BZ424" s="547"/>
      <c r="CA424" s="547"/>
      <c r="CB424" s="547"/>
      <c r="CC424" s="547"/>
    </row>
    <row r="425" spans="1:81">
      <c r="A425" s="547"/>
      <c r="B425" s="547"/>
      <c r="C425" s="547"/>
      <c r="D425" s="547"/>
      <c r="E425" s="547"/>
      <c r="F425" s="547"/>
      <c r="G425" s="547"/>
      <c r="H425" s="547"/>
      <c r="I425" s="547"/>
      <c r="J425" s="547"/>
      <c r="K425" s="547"/>
      <c r="L425" s="547"/>
      <c r="M425" s="547"/>
      <c r="N425" s="547"/>
      <c r="O425" s="547"/>
      <c r="P425" s="547"/>
      <c r="Q425" s="547"/>
      <c r="R425" s="547"/>
      <c r="S425" s="547"/>
      <c r="T425" s="547"/>
      <c r="U425" s="547"/>
      <c r="V425" s="547"/>
      <c r="W425" s="547"/>
      <c r="X425" s="547"/>
      <c r="Y425" s="547"/>
      <c r="Z425" s="547"/>
      <c r="AA425" s="547"/>
      <c r="AB425" s="547"/>
      <c r="AC425" s="547"/>
      <c r="AD425" s="547"/>
      <c r="AE425" s="547"/>
      <c r="AF425" s="547"/>
      <c r="AG425" s="547"/>
      <c r="AH425" s="547"/>
      <c r="AI425" s="547"/>
      <c r="AJ425" s="547"/>
      <c r="AK425" s="547"/>
      <c r="AL425" s="547"/>
      <c r="AM425" s="547"/>
      <c r="AN425" s="547"/>
      <c r="AO425" s="547"/>
      <c r="AP425" s="547"/>
      <c r="AQ425" s="547"/>
      <c r="AR425" s="547"/>
      <c r="AS425" s="547"/>
      <c r="AT425" s="547"/>
      <c r="AU425" s="547"/>
      <c r="AV425" s="547"/>
      <c r="AW425" s="547"/>
      <c r="AX425" s="547"/>
      <c r="AY425" s="547"/>
      <c r="AZ425" s="547"/>
      <c r="BA425" s="547"/>
      <c r="BB425" s="547"/>
      <c r="BC425" s="547"/>
      <c r="BD425" s="547"/>
      <c r="BE425" s="547"/>
      <c r="BF425" s="547"/>
      <c r="BG425" s="547"/>
      <c r="BH425" s="547"/>
      <c r="BI425" s="547"/>
      <c r="BJ425" s="547"/>
      <c r="BK425" s="547"/>
      <c r="BL425" s="547"/>
      <c r="BM425" s="547"/>
      <c r="BN425" s="547"/>
      <c r="BO425" s="547"/>
      <c r="BP425" s="547"/>
      <c r="BQ425" s="547"/>
      <c r="BR425" s="547"/>
      <c r="BS425" s="547"/>
      <c r="BT425" s="547"/>
      <c r="BU425" s="547"/>
      <c r="BV425" s="547"/>
      <c r="BW425" s="547"/>
      <c r="BX425" s="547"/>
      <c r="BY425" s="547"/>
      <c r="BZ425" s="547"/>
      <c r="CA425" s="547"/>
      <c r="CB425" s="547"/>
      <c r="CC425" s="547"/>
    </row>
    <row r="426" spans="1:81">
      <c r="A426" s="547"/>
      <c r="B426" s="547"/>
      <c r="C426" s="547"/>
      <c r="D426" s="547"/>
      <c r="E426" s="547"/>
      <c r="F426" s="547"/>
      <c r="G426" s="547"/>
      <c r="H426" s="547"/>
      <c r="I426" s="547"/>
      <c r="J426" s="547"/>
      <c r="K426" s="547"/>
      <c r="L426" s="547"/>
      <c r="M426" s="547"/>
      <c r="N426" s="547"/>
      <c r="O426" s="547"/>
      <c r="P426" s="547"/>
      <c r="Q426" s="547"/>
      <c r="R426" s="547"/>
      <c r="S426" s="547"/>
      <c r="T426" s="547"/>
      <c r="U426" s="547"/>
      <c r="V426" s="547"/>
      <c r="W426" s="547"/>
      <c r="X426" s="547"/>
      <c r="Y426" s="547"/>
      <c r="Z426" s="547"/>
      <c r="AA426" s="547"/>
      <c r="AB426" s="547"/>
      <c r="AC426" s="547"/>
      <c r="AD426" s="547"/>
      <c r="AE426" s="547"/>
      <c r="AF426" s="547"/>
      <c r="AG426" s="547"/>
      <c r="AH426" s="547"/>
      <c r="AI426" s="547"/>
      <c r="AJ426" s="547"/>
      <c r="AK426" s="547"/>
      <c r="AL426" s="547"/>
      <c r="AM426" s="547"/>
      <c r="AN426" s="547"/>
      <c r="AO426" s="547"/>
      <c r="AP426" s="547"/>
      <c r="AQ426" s="547"/>
      <c r="AR426" s="547"/>
      <c r="AS426" s="547"/>
      <c r="AT426" s="547"/>
      <c r="AU426" s="547"/>
      <c r="AV426" s="547"/>
      <c r="AW426" s="547"/>
      <c r="AX426" s="547"/>
      <c r="AY426" s="547"/>
      <c r="AZ426" s="547"/>
      <c r="BA426" s="547"/>
      <c r="BB426" s="547"/>
      <c r="BC426" s="547"/>
      <c r="BD426" s="547"/>
      <c r="BE426" s="547"/>
      <c r="BF426" s="547"/>
      <c r="BG426" s="547"/>
      <c r="BH426" s="547"/>
      <c r="BI426" s="547"/>
      <c r="BJ426" s="547"/>
      <c r="BK426" s="547"/>
      <c r="BL426" s="547"/>
      <c r="BM426" s="547"/>
      <c r="BN426" s="547"/>
      <c r="BO426" s="547"/>
      <c r="BP426" s="547"/>
      <c r="BQ426" s="547"/>
      <c r="BR426" s="547"/>
      <c r="BS426" s="547"/>
      <c r="BT426" s="547"/>
      <c r="BU426" s="547"/>
      <c r="BV426" s="547"/>
      <c r="BW426" s="547"/>
      <c r="BX426" s="547"/>
      <c r="BY426" s="547"/>
      <c r="BZ426" s="547"/>
      <c r="CA426" s="547"/>
      <c r="CB426" s="547"/>
      <c r="CC426" s="547"/>
    </row>
    <row r="427" spans="1:81">
      <c r="A427" s="547"/>
      <c r="B427" s="547"/>
      <c r="C427" s="547"/>
      <c r="D427" s="547"/>
      <c r="E427" s="547"/>
      <c r="F427" s="547"/>
      <c r="G427" s="547"/>
      <c r="H427" s="547"/>
      <c r="I427" s="547"/>
      <c r="J427" s="547"/>
      <c r="K427" s="547"/>
      <c r="L427" s="547"/>
      <c r="M427" s="547"/>
      <c r="N427" s="547"/>
      <c r="O427" s="547"/>
      <c r="P427" s="547"/>
      <c r="Q427" s="547"/>
      <c r="R427" s="547"/>
      <c r="S427" s="547"/>
      <c r="T427" s="547"/>
      <c r="U427" s="547"/>
      <c r="V427" s="547"/>
      <c r="W427" s="547"/>
      <c r="X427" s="547"/>
      <c r="Y427" s="547"/>
      <c r="Z427" s="547"/>
      <c r="AA427" s="547"/>
      <c r="AB427" s="547"/>
      <c r="AC427" s="547"/>
      <c r="AD427" s="547"/>
      <c r="AE427" s="547"/>
      <c r="AF427" s="547"/>
      <c r="AG427" s="547"/>
      <c r="AH427" s="547"/>
      <c r="AI427" s="547"/>
      <c r="AJ427" s="547"/>
      <c r="AK427" s="547"/>
      <c r="AL427" s="547"/>
      <c r="AM427" s="547"/>
      <c r="AN427" s="547"/>
      <c r="AO427" s="547"/>
      <c r="AP427" s="547"/>
      <c r="AQ427" s="547"/>
      <c r="AR427" s="547"/>
      <c r="AS427" s="547"/>
      <c r="AT427" s="547"/>
      <c r="AU427" s="547"/>
      <c r="AV427" s="547"/>
      <c r="AW427" s="547"/>
      <c r="AX427" s="547"/>
      <c r="AY427" s="547"/>
      <c r="AZ427" s="547"/>
      <c r="BA427" s="547"/>
      <c r="BB427" s="547"/>
      <c r="BC427" s="547"/>
      <c r="BD427" s="547"/>
      <c r="BE427" s="547"/>
      <c r="BF427" s="547"/>
      <c r="BG427" s="547"/>
      <c r="BH427" s="547"/>
      <c r="BI427" s="547"/>
      <c r="BJ427" s="547"/>
      <c r="BK427" s="547"/>
      <c r="BL427" s="547"/>
      <c r="BM427" s="547"/>
      <c r="BN427" s="547"/>
      <c r="BO427" s="547"/>
      <c r="BP427" s="547"/>
      <c r="BQ427" s="547"/>
      <c r="BR427" s="547"/>
      <c r="BS427" s="547"/>
      <c r="BT427" s="547"/>
      <c r="BU427" s="547"/>
      <c r="BV427" s="547"/>
      <c r="BW427" s="547"/>
      <c r="BX427" s="547"/>
      <c r="BY427" s="547"/>
      <c r="BZ427" s="547"/>
      <c r="CA427" s="547"/>
      <c r="CB427" s="547"/>
      <c r="CC427" s="547"/>
    </row>
    <row r="428" spans="1:81">
      <c r="A428" s="547"/>
      <c r="B428" s="547"/>
      <c r="C428" s="547"/>
      <c r="D428" s="547"/>
      <c r="E428" s="547"/>
      <c r="F428" s="547"/>
      <c r="G428" s="547"/>
      <c r="H428" s="547"/>
      <c r="I428" s="547"/>
      <c r="J428" s="547"/>
      <c r="K428" s="547"/>
      <c r="L428" s="547"/>
      <c r="M428" s="547"/>
      <c r="N428" s="547"/>
      <c r="O428" s="547"/>
      <c r="P428" s="547"/>
      <c r="Q428" s="547"/>
      <c r="R428" s="547"/>
      <c r="S428" s="547"/>
      <c r="T428" s="547"/>
      <c r="U428" s="547"/>
      <c r="V428" s="547"/>
      <c r="W428" s="547"/>
      <c r="X428" s="547"/>
      <c r="Y428" s="547"/>
      <c r="Z428" s="547"/>
      <c r="AA428" s="547"/>
      <c r="AB428" s="547"/>
      <c r="AC428" s="547"/>
      <c r="AD428" s="547"/>
      <c r="AE428" s="547"/>
      <c r="AF428" s="547"/>
      <c r="AG428" s="547"/>
      <c r="AH428" s="547"/>
      <c r="AI428" s="547"/>
      <c r="AJ428" s="547"/>
      <c r="AK428" s="547"/>
      <c r="AL428" s="547"/>
      <c r="AM428" s="547"/>
      <c r="AN428" s="547"/>
      <c r="AO428" s="547"/>
      <c r="AP428" s="547"/>
      <c r="AQ428" s="547"/>
      <c r="AR428" s="547"/>
      <c r="AS428" s="547"/>
      <c r="AT428" s="547"/>
      <c r="AU428" s="547"/>
      <c r="AV428" s="547"/>
      <c r="AW428" s="547"/>
      <c r="AX428" s="547"/>
      <c r="AY428" s="547"/>
      <c r="AZ428" s="547"/>
      <c r="BA428" s="547"/>
      <c r="BB428" s="547"/>
      <c r="BC428" s="547"/>
      <c r="BD428" s="547"/>
      <c r="BE428" s="547"/>
      <c r="BF428" s="547"/>
      <c r="BG428" s="547"/>
      <c r="BH428" s="547"/>
      <c r="BI428" s="547"/>
      <c r="BJ428" s="547"/>
      <c r="BK428" s="547"/>
      <c r="BL428" s="547"/>
      <c r="BM428" s="547"/>
      <c r="BN428" s="547"/>
      <c r="BO428" s="547"/>
      <c r="BP428" s="547"/>
      <c r="BQ428" s="547"/>
      <c r="BR428" s="547"/>
      <c r="BS428" s="547"/>
      <c r="BT428" s="547"/>
      <c r="BU428" s="547"/>
      <c r="BV428" s="547"/>
      <c r="BW428" s="547"/>
      <c r="BX428" s="547"/>
      <c r="BY428" s="547"/>
      <c r="BZ428" s="547"/>
      <c r="CA428" s="547"/>
      <c r="CB428" s="547"/>
      <c r="CC428" s="547"/>
    </row>
    <row r="429" spans="1:81">
      <c r="A429" s="547"/>
      <c r="B429" s="547"/>
      <c r="C429" s="547"/>
      <c r="D429" s="547"/>
      <c r="E429" s="547"/>
      <c r="F429" s="547"/>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547"/>
      <c r="AF429" s="547"/>
      <c r="AG429" s="547"/>
      <c r="AH429" s="547"/>
      <c r="AI429" s="547"/>
      <c r="AJ429" s="547"/>
      <c r="AK429" s="547"/>
      <c r="AL429" s="547"/>
      <c r="AM429" s="547"/>
      <c r="AN429" s="547"/>
      <c r="AO429" s="547"/>
      <c r="AP429" s="547"/>
      <c r="AQ429" s="547"/>
      <c r="AR429" s="547"/>
      <c r="AS429" s="547"/>
      <c r="AT429" s="547"/>
      <c r="AU429" s="547"/>
      <c r="AV429" s="547"/>
      <c r="AW429" s="547"/>
      <c r="AX429" s="547"/>
      <c r="AY429" s="547"/>
      <c r="AZ429" s="547"/>
      <c r="BA429" s="547"/>
      <c r="BB429" s="547"/>
      <c r="BC429" s="547"/>
      <c r="BD429" s="547"/>
      <c r="BE429" s="547"/>
      <c r="BF429" s="547"/>
      <c r="BG429" s="547"/>
      <c r="BH429" s="547"/>
      <c r="BI429" s="547"/>
      <c r="BJ429" s="547"/>
      <c r="BK429" s="547"/>
      <c r="BL429" s="547"/>
      <c r="BM429" s="547"/>
      <c r="BN429" s="547"/>
      <c r="BO429" s="547"/>
      <c r="BP429" s="547"/>
      <c r="BQ429" s="547"/>
      <c r="BR429" s="547"/>
      <c r="BS429" s="547"/>
      <c r="BT429" s="547"/>
      <c r="BU429" s="547"/>
      <c r="BV429" s="547"/>
      <c r="BW429" s="547"/>
      <c r="BX429" s="547"/>
      <c r="BY429" s="547"/>
      <c r="BZ429" s="547"/>
      <c r="CA429" s="547"/>
      <c r="CB429" s="547"/>
      <c r="CC429" s="547"/>
    </row>
    <row r="430" spans="1:81">
      <c r="A430" s="547"/>
      <c r="B430" s="547"/>
      <c r="C430" s="547"/>
      <c r="D430" s="547"/>
      <c r="E430" s="547"/>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547"/>
      <c r="AF430" s="547"/>
      <c r="AG430" s="547"/>
      <c r="AH430" s="547"/>
      <c r="AI430" s="547"/>
      <c r="AJ430" s="547"/>
      <c r="AK430" s="547"/>
      <c r="AL430" s="547"/>
      <c r="AM430" s="547"/>
      <c r="AN430" s="547"/>
      <c r="AO430" s="547"/>
      <c r="AP430" s="547"/>
      <c r="AQ430" s="547"/>
      <c r="AR430" s="547"/>
      <c r="AS430" s="547"/>
      <c r="AT430" s="547"/>
      <c r="AU430" s="547"/>
      <c r="AV430" s="547"/>
      <c r="AW430" s="547"/>
      <c r="AX430" s="547"/>
      <c r="AY430" s="547"/>
      <c r="AZ430" s="547"/>
      <c r="BA430" s="547"/>
      <c r="BB430" s="547"/>
      <c r="BC430" s="547"/>
      <c r="BD430" s="547"/>
      <c r="BE430" s="547"/>
      <c r="BF430" s="547"/>
      <c r="BG430" s="547"/>
      <c r="BH430" s="547"/>
      <c r="BI430" s="547"/>
      <c r="BJ430" s="547"/>
      <c r="BK430" s="547"/>
      <c r="BL430" s="547"/>
      <c r="BM430" s="547"/>
      <c r="BN430" s="547"/>
      <c r="BO430" s="547"/>
      <c r="BP430" s="547"/>
      <c r="BQ430" s="547"/>
      <c r="BR430" s="547"/>
      <c r="BS430" s="547"/>
      <c r="BT430" s="547"/>
      <c r="BU430" s="547"/>
      <c r="BV430" s="547"/>
      <c r="BW430" s="547"/>
      <c r="BX430" s="547"/>
      <c r="BY430" s="547"/>
      <c r="BZ430" s="547"/>
      <c r="CA430" s="547"/>
      <c r="CB430" s="547"/>
      <c r="CC430" s="547"/>
    </row>
    <row r="431" spans="1:81">
      <c r="A431" s="547"/>
      <c r="B431" s="547"/>
      <c r="C431" s="547"/>
      <c r="D431" s="547"/>
      <c r="E431" s="547"/>
      <c r="F431" s="547"/>
      <c r="G431" s="547"/>
      <c r="H431" s="547"/>
      <c r="I431" s="547"/>
      <c r="J431" s="547"/>
      <c r="K431" s="547"/>
      <c r="L431" s="547"/>
      <c r="M431" s="547"/>
      <c r="N431" s="547"/>
      <c r="O431" s="547"/>
      <c r="P431" s="547"/>
      <c r="Q431" s="547"/>
      <c r="R431" s="547"/>
      <c r="S431" s="547"/>
      <c r="T431" s="547"/>
      <c r="U431" s="547"/>
      <c r="V431" s="547"/>
      <c r="W431" s="547"/>
      <c r="X431" s="547"/>
      <c r="Y431" s="547"/>
      <c r="Z431" s="547"/>
      <c r="AA431" s="547"/>
      <c r="AB431" s="547"/>
      <c r="AC431" s="547"/>
      <c r="AD431" s="547"/>
      <c r="AE431" s="547"/>
      <c r="AF431" s="547"/>
      <c r="AG431" s="547"/>
      <c r="AH431" s="547"/>
      <c r="AI431" s="547"/>
      <c r="AJ431" s="547"/>
      <c r="AK431" s="547"/>
      <c r="AL431" s="547"/>
      <c r="AM431" s="547"/>
      <c r="AN431" s="547"/>
      <c r="AO431" s="547"/>
      <c r="AP431" s="547"/>
      <c r="AQ431" s="547"/>
      <c r="AR431" s="547"/>
      <c r="AS431" s="547"/>
      <c r="AT431" s="547"/>
      <c r="AU431" s="547"/>
      <c r="AV431" s="547"/>
      <c r="AW431" s="547"/>
      <c r="AX431" s="547"/>
      <c r="AY431" s="547"/>
      <c r="AZ431" s="547"/>
      <c r="BA431" s="547"/>
      <c r="BB431" s="547"/>
      <c r="BC431" s="547"/>
      <c r="BD431" s="547"/>
      <c r="BE431" s="547"/>
      <c r="BF431" s="547"/>
      <c r="BG431" s="547"/>
      <c r="BH431" s="547"/>
      <c r="BI431" s="547"/>
      <c r="BJ431" s="547"/>
      <c r="BK431" s="547"/>
      <c r="BL431" s="547"/>
      <c r="BM431" s="547"/>
      <c r="BN431" s="547"/>
      <c r="BO431" s="547"/>
      <c r="BP431" s="547"/>
      <c r="BQ431" s="547"/>
      <c r="BR431" s="547"/>
      <c r="BS431" s="547"/>
      <c r="BT431" s="547"/>
      <c r="BU431" s="547"/>
      <c r="BV431" s="547"/>
      <c r="BW431" s="547"/>
      <c r="BX431" s="547"/>
      <c r="BY431" s="547"/>
      <c r="BZ431" s="547"/>
      <c r="CA431" s="547"/>
      <c r="CB431" s="547"/>
      <c r="CC431" s="547"/>
    </row>
    <row r="432" spans="1:81">
      <c r="A432" s="547"/>
      <c r="B432" s="547"/>
      <c r="C432" s="547"/>
      <c r="D432" s="547"/>
      <c r="E432" s="547"/>
      <c r="F432" s="547"/>
      <c r="G432" s="547"/>
      <c r="H432" s="547"/>
      <c r="I432" s="547"/>
      <c r="J432" s="547"/>
      <c r="K432" s="547"/>
      <c r="L432" s="547"/>
      <c r="M432" s="547"/>
      <c r="N432" s="547"/>
      <c r="O432" s="547"/>
      <c r="P432" s="547"/>
      <c r="Q432" s="547"/>
      <c r="R432" s="547"/>
      <c r="S432" s="547"/>
      <c r="T432" s="547"/>
      <c r="U432" s="547"/>
      <c r="V432" s="547"/>
      <c r="W432" s="547"/>
      <c r="X432" s="547"/>
      <c r="Y432" s="547"/>
      <c r="Z432" s="547"/>
      <c r="AA432" s="547"/>
      <c r="AB432" s="547"/>
      <c r="AC432" s="547"/>
      <c r="AD432" s="547"/>
      <c r="AE432" s="547"/>
      <c r="AF432" s="547"/>
      <c r="AG432" s="547"/>
      <c r="AH432" s="547"/>
      <c r="AI432" s="547"/>
      <c r="AJ432" s="547"/>
      <c r="AK432" s="547"/>
      <c r="AL432" s="547"/>
      <c r="AM432" s="547"/>
      <c r="AN432" s="547"/>
      <c r="AO432" s="547"/>
      <c r="AP432" s="547"/>
      <c r="AQ432" s="547"/>
      <c r="AR432" s="547"/>
      <c r="AS432" s="547"/>
      <c r="AT432" s="547"/>
      <c r="AU432" s="547"/>
      <c r="AV432" s="547"/>
      <c r="AW432" s="547"/>
      <c r="AX432" s="547"/>
      <c r="AY432" s="547"/>
      <c r="AZ432" s="547"/>
      <c r="BA432" s="547"/>
      <c r="BB432" s="547"/>
      <c r="BC432" s="547"/>
      <c r="BD432" s="547"/>
      <c r="BE432" s="547"/>
      <c r="BF432" s="547"/>
      <c r="BG432" s="547"/>
      <c r="BH432" s="547"/>
      <c r="BI432" s="547"/>
      <c r="BJ432" s="547"/>
      <c r="BK432" s="547"/>
      <c r="BL432" s="547"/>
      <c r="BM432" s="547"/>
      <c r="BN432" s="547"/>
      <c r="BO432" s="547"/>
      <c r="BP432" s="547"/>
      <c r="BQ432" s="547"/>
      <c r="BR432" s="547"/>
      <c r="BS432" s="547"/>
      <c r="BT432" s="547"/>
      <c r="BU432" s="547"/>
      <c r="BV432" s="547"/>
      <c r="BW432" s="547"/>
      <c r="BX432" s="547"/>
      <c r="BY432" s="547"/>
      <c r="BZ432" s="547"/>
      <c r="CA432" s="547"/>
      <c r="CB432" s="547"/>
      <c r="CC432" s="547"/>
    </row>
    <row r="433" spans="1:81">
      <c r="A433" s="547"/>
      <c r="B433" s="547"/>
      <c r="C433" s="547"/>
      <c r="D433" s="547"/>
      <c r="E433" s="547"/>
      <c r="F433" s="547"/>
      <c r="G433" s="547"/>
      <c r="H433" s="547"/>
      <c r="I433" s="547"/>
      <c r="J433" s="547"/>
      <c r="K433" s="547"/>
      <c r="L433" s="547"/>
      <c r="M433" s="547"/>
      <c r="N433" s="547"/>
      <c r="O433" s="547"/>
      <c r="P433" s="547"/>
      <c r="Q433" s="547"/>
      <c r="R433" s="547"/>
      <c r="S433" s="547"/>
      <c r="T433" s="547"/>
      <c r="U433" s="547"/>
      <c r="V433" s="547"/>
      <c r="W433" s="547"/>
      <c r="X433" s="547"/>
      <c r="Y433" s="547"/>
      <c r="Z433" s="547"/>
      <c r="AA433" s="547"/>
      <c r="AB433" s="547"/>
      <c r="AC433" s="547"/>
      <c r="AD433" s="547"/>
      <c r="AE433" s="547"/>
      <c r="AF433" s="547"/>
      <c r="AG433" s="547"/>
      <c r="AH433" s="547"/>
      <c r="AI433" s="547"/>
      <c r="AJ433" s="547"/>
      <c r="AK433" s="547"/>
      <c r="AL433" s="547"/>
      <c r="AM433" s="547"/>
      <c r="AN433" s="547"/>
      <c r="AO433" s="547"/>
      <c r="AP433" s="547"/>
      <c r="AQ433" s="547"/>
      <c r="AR433" s="547"/>
      <c r="AS433" s="547"/>
      <c r="AT433" s="547"/>
      <c r="AU433" s="547"/>
      <c r="AV433" s="547"/>
      <c r="AW433" s="547"/>
      <c r="AX433" s="547"/>
      <c r="AY433" s="547"/>
      <c r="AZ433" s="547"/>
      <c r="BA433" s="547"/>
      <c r="BB433" s="547"/>
      <c r="BC433" s="547"/>
      <c r="BD433" s="547"/>
      <c r="BE433" s="547"/>
      <c r="BF433" s="547"/>
      <c r="BG433" s="547"/>
      <c r="BH433" s="547"/>
      <c r="BI433" s="547"/>
      <c r="BJ433" s="547"/>
      <c r="BK433" s="547"/>
      <c r="BL433" s="547"/>
      <c r="BM433" s="547"/>
      <c r="BN433" s="547"/>
      <c r="BO433" s="547"/>
      <c r="BP433" s="547"/>
      <c r="BQ433" s="547"/>
      <c r="BR433" s="547"/>
      <c r="BS433" s="547"/>
      <c r="BT433" s="547"/>
      <c r="BU433" s="547"/>
      <c r="BV433" s="547"/>
      <c r="BW433" s="547"/>
      <c r="BX433" s="547"/>
      <c r="BY433" s="547"/>
      <c r="BZ433" s="547"/>
      <c r="CA433" s="547"/>
      <c r="CB433" s="547"/>
      <c r="CC433" s="547"/>
    </row>
    <row r="434" spans="1:81">
      <c r="A434" s="547"/>
      <c r="B434" s="547"/>
      <c r="C434" s="547"/>
      <c r="D434" s="547"/>
      <c r="E434" s="547"/>
      <c r="F434" s="547"/>
      <c r="G434" s="547"/>
      <c r="H434" s="547"/>
      <c r="I434" s="547"/>
      <c r="J434" s="547"/>
      <c r="K434" s="547"/>
      <c r="L434" s="547"/>
      <c r="M434" s="547"/>
      <c r="N434" s="547"/>
      <c r="O434" s="547"/>
      <c r="P434" s="547"/>
      <c r="Q434" s="547"/>
      <c r="R434" s="547"/>
      <c r="S434" s="547"/>
      <c r="T434" s="547"/>
      <c r="U434" s="547"/>
      <c r="V434" s="547"/>
      <c r="W434" s="547"/>
      <c r="X434" s="547"/>
      <c r="Y434" s="547"/>
      <c r="Z434" s="547"/>
      <c r="AA434" s="547"/>
      <c r="AB434" s="547"/>
      <c r="AC434" s="547"/>
      <c r="AD434" s="547"/>
      <c r="AE434" s="547"/>
      <c r="AF434" s="547"/>
      <c r="AG434" s="547"/>
      <c r="AH434" s="547"/>
      <c r="AI434" s="547"/>
      <c r="AJ434" s="547"/>
      <c r="AK434" s="547"/>
      <c r="AL434" s="547"/>
      <c r="AM434" s="547"/>
      <c r="AN434" s="547"/>
      <c r="AO434" s="547"/>
      <c r="AP434" s="547"/>
      <c r="AQ434" s="547"/>
      <c r="AR434" s="547"/>
      <c r="AS434" s="547"/>
      <c r="AT434" s="547"/>
      <c r="AU434" s="547"/>
      <c r="AV434" s="547"/>
      <c r="AW434" s="547"/>
      <c r="AX434" s="547"/>
      <c r="AY434" s="547"/>
      <c r="AZ434" s="547"/>
      <c r="BA434" s="547"/>
      <c r="BB434" s="547"/>
      <c r="BC434" s="547"/>
      <c r="BD434" s="547"/>
      <c r="BE434" s="547"/>
      <c r="BF434" s="547"/>
      <c r="BG434" s="547"/>
      <c r="BH434" s="547"/>
      <c r="BI434" s="547"/>
      <c r="BJ434" s="547"/>
      <c r="BK434" s="547"/>
      <c r="BL434" s="547"/>
      <c r="BM434" s="547"/>
      <c r="BN434" s="547"/>
      <c r="BO434" s="547"/>
      <c r="BP434" s="547"/>
      <c r="BQ434" s="547"/>
      <c r="BR434" s="547"/>
      <c r="BS434" s="547"/>
      <c r="BT434" s="547"/>
      <c r="BU434" s="547"/>
      <c r="BV434" s="547"/>
      <c r="BW434" s="547"/>
      <c r="BX434" s="547"/>
      <c r="BY434" s="547"/>
      <c r="BZ434" s="547"/>
      <c r="CA434" s="547"/>
      <c r="CB434" s="547"/>
      <c r="CC434" s="547"/>
    </row>
    <row r="435" spans="1:81">
      <c r="A435" s="547"/>
      <c r="B435" s="547"/>
      <c r="C435" s="547"/>
      <c r="D435" s="547"/>
      <c r="E435" s="547"/>
      <c r="F435" s="547"/>
      <c r="G435" s="547"/>
      <c r="H435" s="547"/>
      <c r="I435" s="547"/>
      <c r="J435" s="547"/>
      <c r="K435" s="547"/>
      <c r="L435" s="547"/>
      <c r="M435" s="547"/>
      <c r="N435" s="547"/>
      <c r="O435" s="547"/>
      <c r="P435" s="547"/>
      <c r="Q435" s="547"/>
      <c r="R435" s="547"/>
      <c r="S435" s="547"/>
      <c r="T435" s="547"/>
      <c r="U435" s="547"/>
      <c r="V435" s="547"/>
      <c r="W435" s="547"/>
      <c r="X435" s="547"/>
      <c r="Y435" s="547"/>
      <c r="Z435" s="547"/>
      <c r="AA435" s="547"/>
      <c r="AB435" s="547"/>
      <c r="AC435" s="547"/>
      <c r="AD435" s="547"/>
      <c r="AE435" s="547"/>
      <c r="AF435" s="547"/>
      <c r="AG435" s="547"/>
      <c r="AH435" s="547"/>
      <c r="AI435" s="547"/>
      <c r="AJ435" s="547"/>
      <c r="AK435" s="547"/>
      <c r="AL435" s="547"/>
      <c r="AM435" s="547"/>
      <c r="AN435" s="547"/>
      <c r="AO435" s="547"/>
      <c r="AP435" s="547"/>
      <c r="AQ435" s="547"/>
      <c r="AR435" s="547"/>
      <c r="AS435" s="547"/>
      <c r="AT435" s="547"/>
      <c r="AU435" s="547"/>
      <c r="AV435" s="547"/>
      <c r="AW435" s="547"/>
      <c r="AX435" s="547"/>
      <c r="AY435" s="547"/>
      <c r="AZ435" s="547"/>
      <c r="BA435" s="547"/>
      <c r="BB435" s="547"/>
      <c r="BC435" s="547"/>
      <c r="BD435" s="547"/>
      <c r="BE435" s="547"/>
      <c r="BF435" s="547"/>
      <c r="BG435" s="547"/>
      <c r="BH435" s="547"/>
      <c r="BI435" s="547"/>
      <c r="BJ435" s="547"/>
      <c r="BK435" s="547"/>
      <c r="BL435" s="547"/>
      <c r="BM435" s="547"/>
      <c r="BN435" s="547"/>
      <c r="BO435" s="547"/>
      <c r="BP435" s="547"/>
      <c r="BQ435" s="547"/>
      <c r="BR435" s="547"/>
      <c r="BS435" s="547"/>
      <c r="BT435" s="547"/>
      <c r="BU435" s="547"/>
      <c r="BV435" s="547"/>
      <c r="BW435" s="547"/>
      <c r="BX435" s="547"/>
      <c r="BY435" s="547"/>
      <c r="BZ435" s="547"/>
      <c r="CA435" s="547"/>
      <c r="CB435" s="547"/>
      <c r="CC435" s="547"/>
    </row>
    <row r="436" spans="1:81">
      <c r="A436" s="547"/>
      <c r="B436" s="547"/>
      <c r="C436" s="547"/>
      <c r="D436" s="547"/>
      <c r="E436" s="547"/>
      <c r="F436" s="547"/>
      <c r="G436" s="547"/>
      <c r="H436" s="547"/>
      <c r="I436" s="547"/>
      <c r="J436" s="547"/>
      <c r="K436" s="547"/>
      <c r="L436" s="547"/>
      <c r="M436" s="547"/>
      <c r="N436" s="547"/>
      <c r="O436" s="547"/>
      <c r="P436" s="547"/>
      <c r="Q436" s="547"/>
      <c r="R436" s="547"/>
      <c r="S436" s="547"/>
      <c r="T436" s="547"/>
      <c r="U436" s="547"/>
      <c r="V436" s="547"/>
      <c r="W436" s="547"/>
      <c r="X436" s="547"/>
      <c r="Y436" s="547"/>
      <c r="Z436" s="547"/>
      <c r="AA436" s="547"/>
      <c r="AB436" s="547"/>
      <c r="AC436" s="547"/>
      <c r="AD436" s="547"/>
      <c r="AE436" s="547"/>
      <c r="AF436" s="547"/>
      <c r="AG436" s="547"/>
      <c r="AH436" s="547"/>
      <c r="AI436" s="547"/>
      <c r="AJ436" s="547"/>
      <c r="AK436" s="547"/>
      <c r="AL436" s="547"/>
      <c r="AM436" s="547"/>
      <c r="AN436" s="547"/>
      <c r="AO436" s="547"/>
      <c r="AP436" s="547"/>
      <c r="AQ436" s="547"/>
      <c r="AR436" s="547"/>
      <c r="AS436" s="547"/>
      <c r="AT436" s="547"/>
      <c r="AU436" s="547"/>
      <c r="AV436" s="547"/>
      <c r="AW436" s="547"/>
      <c r="AX436" s="547"/>
      <c r="AY436" s="547"/>
      <c r="AZ436" s="547"/>
      <c r="BA436" s="547"/>
      <c r="BB436" s="547"/>
      <c r="BC436" s="547"/>
      <c r="BD436" s="547"/>
      <c r="BE436" s="547"/>
      <c r="BF436" s="547"/>
      <c r="BG436" s="547"/>
      <c r="BH436" s="547"/>
      <c r="BI436" s="547"/>
      <c r="BJ436" s="547"/>
      <c r="BK436" s="547"/>
      <c r="BL436" s="547"/>
      <c r="BM436" s="547"/>
      <c r="BN436" s="547"/>
      <c r="BO436" s="547"/>
      <c r="BP436" s="547"/>
      <c r="BQ436" s="547"/>
      <c r="BR436" s="547"/>
      <c r="BS436" s="547"/>
      <c r="BT436" s="547"/>
      <c r="BU436" s="547"/>
      <c r="BV436" s="547"/>
      <c r="BW436" s="547"/>
      <c r="BX436" s="547"/>
      <c r="BY436" s="547"/>
      <c r="BZ436" s="547"/>
      <c r="CA436" s="547"/>
      <c r="CB436" s="547"/>
      <c r="CC436" s="547"/>
    </row>
    <row r="437" spans="1:81">
      <c r="A437" s="547"/>
      <c r="B437" s="547"/>
      <c r="C437" s="547"/>
      <c r="D437" s="547"/>
      <c r="E437" s="547"/>
      <c r="F437" s="547"/>
      <c r="G437" s="547"/>
      <c r="H437" s="547"/>
      <c r="I437" s="547"/>
      <c r="J437" s="547"/>
      <c r="K437" s="547"/>
      <c r="L437" s="547"/>
      <c r="M437" s="547"/>
      <c r="N437" s="547"/>
      <c r="O437" s="547"/>
      <c r="P437" s="547"/>
      <c r="Q437" s="547"/>
      <c r="R437" s="547"/>
      <c r="S437" s="547"/>
      <c r="T437" s="547"/>
      <c r="U437" s="547"/>
      <c r="V437" s="547"/>
      <c r="W437" s="547"/>
      <c r="X437" s="547"/>
      <c r="Y437" s="547"/>
      <c r="Z437" s="547"/>
      <c r="AA437" s="547"/>
      <c r="AB437" s="547"/>
      <c r="AC437" s="547"/>
      <c r="AD437" s="547"/>
      <c r="AE437" s="547"/>
      <c r="AF437" s="547"/>
      <c r="AG437" s="547"/>
      <c r="AH437" s="547"/>
      <c r="AI437" s="547"/>
      <c r="AJ437" s="547"/>
      <c r="AK437" s="547"/>
      <c r="AL437" s="547"/>
      <c r="AM437" s="547"/>
      <c r="AN437" s="547"/>
      <c r="AO437" s="547"/>
      <c r="AP437" s="547"/>
      <c r="AQ437" s="547"/>
      <c r="AR437" s="547"/>
      <c r="AS437" s="547"/>
      <c r="AT437" s="547"/>
      <c r="AU437" s="547"/>
      <c r="AV437" s="547"/>
      <c r="AW437" s="547"/>
      <c r="AX437" s="547"/>
      <c r="AY437" s="547"/>
      <c r="AZ437" s="547"/>
      <c r="BA437" s="547"/>
      <c r="BB437" s="547"/>
      <c r="BC437" s="547"/>
      <c r="BD437" s="547"/>
      <c r="BE437" s="547"/>
      <c r="BF437" s="547"/>
      <c r="BG437" s="547"/>
      <c r="BH437" s="547"/>
      <c r="BI437" s="547"/>
      <c r="BJ437" s="547"/>
      <c r="BK437" s="547"/>
      <c r="BL437" s="547"/>
      <c r="BM437" s="547"/>
      <c r="BN437" s="547"/>
      <c r="BO437" s="547"/>
      <c r="BP437" s="547"/>
      <c r="BQ437" s="547"/>
      <c r="BR437" s="547"/>
      <c r="BS437" s="547"/>
      <c r="BT437" s="547"/>
      <c r="BU437" s="547"/>
      <c r="BV437" s="547"/>
      <c r="BW437" s="547"/>
      <c r="BX437" s="547"/>
      <c r="BY437" s="547"/>
      <c r="BZ437" s="547"/>
      <c r="CA437" s="547"/>
      <c r="CB437" s="547"/>
      <c r="CC437" s="547"/>
    </row>
    <row r="438" spans="1:81">
      <c r="A438" s="547"/>
      <c r="B438" s="547"/>
      <c r="C438" s="547"/>
      <c r="D438" s="547"/>
      <c r="E438" s="547"/>
      <c r="F438" s="547"/>
      <c r="G438" s="547"/>
      <c r="H438" s="547"/>
      <c r="I438" s="547"/>
      <c r="J438" s="547"/>
      <c r="K438" s="547"/>
      <c r="L438" s="547"/>
      <c r="M438" s="547"/>
      <c r="N438" s="547"/>
      <c r="O438" s="547"/>
      <c r="P438" s="547"/>
      <c r="Q438" s="547"/>
      <c r="R438" s="547"/>
      <c r="S438" s="547"/>
      <c r="T438" s="547"/>
      <c r="U438" s="547"/>
      <c r="V438" s="547"/>
      <c r="W438" s="547"/>
      <c r="X438" s="547"/>
      <c r="Y438" s="547"/>
      <c r="Z438" s="547"/>
      <c r="AA438" s="547"/>
      <c r="AB438" s="547"/>
      <c r="AC438" s="547"/>
      <c r="AD438" s="547"/>
      <c r="AE438" s="547"/>
      <c r="AF438" s="547"/>
      <c r="AG438" s="547"/>
      <c r="AH438" s="547"/>
      <c r="AI438" s="547"/>
      <c r="AJ438" s="547"/>
      <c r="AK438" s="547"/>
      <c r="AL438" s="547"/>
      <c r="AM438" s="547"/>
      <c r="AN438" s="547"/>
      <c r="AO438" s="547"/>
      <c r="AP438" s="547"/>
      <c r="AQ438" s="547"/>
      <c r="AR438" s="547"/>
      <c r="AS438" s="547"/>
      <c r="AT438" s="547"/>
      <c r="AU438" s="547"/>
      <c r="AV438" s="547"/>
      <c r="AW438" s="547"/>
      <c r="AX438" s="547"/>
      <c r="AY438" s="547"/>
      <c r="AZ438" s="547"/>
      <c r="BA438" s="547"/>
      <c r="BB438" s="547"/>
      <c r="BC438" s="547"/>
      <c r="BD438" s="547"/>
      <c r="BE438" s="547"/>
      <c r="BF438" s="547"/>
      <c r="BG438" s="547"/>
      <c r="BH438" s="547"/>
      <c r="BI438" s="547"/>
      <c r="BJ438" s="547"/>
      <c r="BK438" s="547"/>
      <c r="BL438" s="547"/>
      <c r="BM438" s="547"/>
      <c r="BN438" s="547"/>
      <c r="BO438" s="547"/>
      <c r="BP438" s="547"/>
      <c r="BQ438" s="547"/>
      <c r="BR438" s="547"/>
      <c r="BS438" s="547"/>
      <c r="BT438" s="547"/>
      <c r="BU438" s="547"/>
      <c r="BV438" s="547"/>
      <c r="BW438" s="547"/>
      <c r="BX438" s="547"/>
      <c r="BY438" s="547"/>
      <c r="BZ438" s="547"/>
      <c r="CA438" s="547"/>
      <c r="CB438" s="547"/>
      <c r="CC438" s="547"/>
    </row>
    <row r="439" spans="1:81">
      <c r="A439" s="547"/>
      <c r="B439" s="547"/>
      <c r="C439" s="547"/>
      <c r="D439" s="547"/>
      <c r="E439" s="547"/>
      <c r="F439" s="547"/>
      <c r="G439" s="547"/>
      <c r="H439" s="547"/>
      <c r="I439" s="547"/>
      <c r="J439" s="547"/>
      <c r="K439" s="547"/>
      <c r="L439" s="547"/>
      <c r="M439" s="547"/>
      <c r="N439" s="547"/>
      <c r="O439" s="547"/>
      <c r="P439" s="547"/>
      <c r="Q439" s="547"/>
      <c r="R439" s="547"/>
      <c r="S439" s="547"/>
      <c r="T439" s="547"/>
      <c r="U439" s="547"/>
      <c r="V439" s="547"/>
      <c r="W439" s="547"/>
      <c r="X439" s="547"/>
      <c r="Y439" s="547"/>
      <c r="Z439" s="547"/>
      <c r="AA439" s="547"/>
      <c r="AB439" s="547"/>
      <c r="AC439" s="547"/>
      <c r="AD439" s="547"/>
      <c r="AE439" s="547"/>
      <c r="AF439" s="547"/>
      <c r="AG439" s="547"/>
      <c r="AH439" s="547"/>
      <c r="AI439" s="547"/>
      <c r="AJ439" s="547"/>
      <c r="AK439" s="547"/>
      <c r="AL439" s="547"/>
      <c r="AM439" s="547"/>
      <c r="AN439" s="547"/>
      <c r="AO439" s="547"/>
      <c r="AP439" s="547"/>
      <c r="AQ439" s="547"/>
      <c r="AR439" s="547"/>
      <c r="AS439" s="547"/>
      <c r="AT439" s="547"/>
      <c r="AU439" s="547"/>
      <c r="AV439" s="547"/>
      <c r="AW439" s="547"/>
      <c r="AX439" s="547"/>
      <c r="AY439" s="547"/>
      <c r="AZ439" s="547"/>
      <c r="BA439" s="547"/>
      <c r="BB439" s="547"/>
      <c r="BC439" s="547"/>
      <c r="BD439" s="547"/>
      <c r="BE439" s="547"/>
      <c r="BF439" s="547"/>
      <c r="BG439" s="547"/>
      <c r="BH439" s="547"/>
      <c r="BI439" s="547"/>
      <c r="BJ439" s="547"/>
      <c r="BK439" s="547"/>
      <c r="BL439" s="547"/>
      <c r="BM439" s="547"/>
      <c r="BN439" s="547"/>
      <c r="BO439" s="547"/>
      <c r="BP439" s="547"/>
      <c r="BQ439" s="547"/>
      <c r="BR439" s="547"/>
      <c r="BS439" s="547"/>
      <c r="BT439" s="547"/>
      <c r="BU439" s="547"/>
      <c r="BV439" s="547"/>
      <c r="BW439" s="547"/>
      <c r="BX439" s="547"/>
      <c r="BY439" s="547"/>
      <c r="BZ439" s="547"/>
      <c r="CA439" s="547"/>
      <c r="CB439" s="547"/>
      <c r="CC439" s="547"/>
    </row>
    <row r="440" spans="1:81">
      <c r="A440" s="547"/>
      <c r="B440" s="547"/>
      <c r="C440" s="547"/>
      <c r="D440" s="547"/>
      <c r="E440" s="547"/>
      <c r="F440" s="547"/>
      <c r="G440" s="547"/>
      <c r="H440" s="547"/>
      <c r="I440" s="547"/>
      <c r="J440" s="547"/>
      <c r="K440" s="547"/>
      <c r="L440" s="547"/>
      <c r="M440" s="547"/>
      <c r="N440" s="547"/>
      <c r="O440" s="547"/>
      <c r="P440" s="547"/>
      <c r="Q440" s="547"/>
      <c r="R440" s="547"/>
      <c r="S440" s="547"/>
      <c r="T440" s="547"/>
      <c r="U440" s="547"/>
      <c r="V440" s="547"/>
      <c r="W440" s="547"/>
      <c r="X440" s="547"/>
      <c r="Y440" s="547"/>
      <c r="Z440" s="547"/>
      <c r="AA440" s="547"/>
      <c r="AB440" s="547"/>
      <c r="AC440" s="547"/>
      <c r="AD440" s="547"/>
      <c r="AE440" s="547"/>
      <c r="AF440" s="547"/>
      <c r="AG440" s="547"/>
      <c r="AH440" s="547"/>
      <c r="AI440" s="547"/>
      <c r="AJ440" s="547"/>
      <c r="AK440" s="547"/>
      <c r="AL440" s="547"/>
      <c r="AM440" s="547"/>
      <c r="AN440" s="547"/>
      <c r="AO440" s="547"/>
      <c r="AP440" s="547"/>
      <c r="AQ440" s="547"/>
      <c r="AR440" s="547"/>
      <c r="AS440" s="547"/>
      <c r="AT440" s="547"/>
      <c r="AU440" s="547"/>
      <c r="AV440" s="547"/>
      <c r="AW440" s="547"/>
      <c r="AX440" s="547"/>
      <c r="AY440" s="547"/>
      <c r="AZ440" s="547"/>
      <c r="BA440" s="547"/>
      <c r="BB440" s="547"/>
      <c r="BC440" s="547"/>
      <c r="BD440" s="547"/>
      <c r="BE440" s="547"/>
      <c r="BF440" s="547"/>
      <c r="BG440" s="547"/>
      <c r="BH440" s="547"/>
      <c r="BI440" s="547"/>
      <c r="BJ440" s="547"/>
      <c r="BK440" s="547"/>
      <c r="BL440" s="547"/>
      <c r="BM440" s="547"/>
      <c r="BN440" s="547"/>
      <c r="BO440" s="547"/>
      <c r="BP440" s="547"/>
      <c r="BQ440" s="547"/>
      <c r="BR440" s="547"/>
      <c r="BS440" s="547"/>
      <c r="BT440" s="547"/>
      <c r="BU440" s="547"/>
      <c r="BV440" s="547"/>
      <c r="BW440" s="547"/>
      <c r="BX440" s="547"/>
      <c r="BY440" s="547"/>
      <c r="BZ440" s="547"/>
      <c r="CA440" s="547"/>
      <c r="CB440" s="547"/>
      <c r="CC440" s="547"/>
    </row>
    <row r="441" spans="1:81">
      <c r="A441" s="547"/>
      <c r="B441" s="547"/>
      <c r="C441" s="547"/>
      <c r="D441" s="547"/>
      <c r="E441" s="547"/>
      <c r="F441" s="547"/>
      <c r="G441" s="547"/>
      <c r="H441" s="547"/>
      <c r="I441" s="547"/>
      <c r="J441" s="547"/>
      <c r="K441" s="547"/>
      <c r="L441" s="547"/>
      <c r="M441" s="547"/>
      <c r="N441" s="547"/>
      <c r="O441" s="547"/>
      <c r="P441" s="547"/>
      <c r="Q441" s="547"/>
      <c r="R441" s="547"/>
      <c r="S441" s="547"/>
      <c r="T441" s="547"/>
      <c r="U441" s="547"/>
      <c r="V441" s="547"/>
      <c r="W441" s="547"/>
      <c r="X441" s="547"/>
      <c r="Y441" s="547"/>
      <c r="Z441" s="547"/>
      <c r="AA441" s="547"/>
      <c r="AB441" s="547"/>
      <c r="AC441" s="547"/>
      <c r="AD441" s="547"/>
      <c r="AE441" s="547"/>
      <c r="AF441" s="547"/>
      <c r="AG441" s="547"/>
      <c r="AH441" s="547"/>
      <c r="AI441" s="547"/>
      <c r="AJ441" s="547"/>
      <c r="AK441" s="547"/>
      <c r="AL441" s="547"/>
      <c r="AM441" s="547"/>
      <c r="AN441" s="547"/>
      <c r="AO441" s="547"/>
      <c r="AP441" s="547"/>
      <c r="AQ441" s="547"/>
      <c r="AR441" s="547"/>
      <c r="AS441" s="547"/>
      <c r="AT441" s="547"/>
      <c r="AU441" s="547"/>
      <c r="AV441" s="547"/>
      <c r="AW441" s="547"/>
      <c r="AX441" s="547"/>
      <c r="AY441" s="547"/>
      <c r="AZ441" s="547"/>
      <c r="BA441" s="547"/>
      <c r="BB441" s="547"/>
      <c r="BC441" s="547"/>
      <c r="BD441" s="547"/>
      <c r="BE441" s="547"/>
      <c r="BF441" s="547"/>
      <c r="BG441" s="547"/>
      <c r="BH441" s="547"/>
      <c r="BI441" s="547"/>
      <c r="BJ441" s="547"/>
      <c r="BK441" s="547"/>
      <c r="BL441" s="547"/>
      <c r="BM441" s="547"/>
      <c r="BN441" s="547"/>
      <c r="BO441" s="547"/>
      <c r="BP441" s="547"/>
      <c r="BQ441" s="547"/>
      <c r="BR441" s="547"/>
      <c r="BS441" s="547"/>
      <c r="BT441" s="547"/>
      <c r="BU441" s="547"/>
      <c r="BV441" s="547"/>
      <c r="BW441" s="547"/>
      <c r="BX441" s="547"/>
      <c r="BY441" s="547"/>
      <c r="BZ441" s="547"/>
      <c r="CA441" s="547"/>
      <c r="CB441" s="547"/>
      <c r="CC441" s="547"/>
    </row>
    <row r="442" spans="1:81">
      <c r="A442" s="547"/>
      <c r="B442" s="547"/>
      <c r="C442" s="547"/>
      <c r="D442" s="547"/>
      <c r="E442" s="547"/>
      <c r="F442" s="547"/>
      <c r="G442" s="547"/>
      <c r="H442" s="547"/>
      <c r="I442" s="547"/>
      <c r="J442" s="547"/>
      <c r="K442" s="547"/>
      <c r="L442" s="547"/>
      <c r="M442" s="547"/>
      <c r="N442" s="547"/>
      <c r="O442" s="547"/>
      <c r="P442" s="547"/>
      <c r="Q442" s="547"/>
      <c r="R442" s="547"/>
      <c r="S442" s="547"/>
      <c r="T442" s="547"/>
      <c r="U442" s="547"/>
      <c r="V442" s="547"/>
      <c r="W442" s="547"/>
      <c r="X442" s="547"/>
      <c r="Y442" s="547"/>
      <c r="Z442" s="547"/>
      <c r="AA442" s="547"/>
      <c r="AB442" s="547"/>
      <c r="AC442" s="547"/>
      <c r="AD442" s="547"/>
      <c r="AE442" s="547"/>
      <c r="AF442" s="547"/>
      <c r="AG442" s="547"/>
      <c r="AH442" s="547"/>
      <c r="AI442" s="547"/>
      <c r="AJ442" s="547"/>
      <c r="AK442" s="547"/>
      <c r="AL442" s="547"/>
      <c r="AM442" s="547"/>
      <c r="AN442" s="547"/>
      <c r="AO442" s="547"/>
      <c r="AP442" s="547"/>
      <c r="AQ442" s="547"/>
      <c r="AR442" s="547"/>
      <c r="AS442" s="547"/>
      <c r="AT442" s="547"/>
      <c r="AU442" s="547"/>
      <c r="AV442" s="547"/>
      <c r="AW442" s="547"/>
      <c r="AX442" s="547"/>
      <c r="AY442" s="547"/>
      <c r="AZ442" s="547"/>
      <c r="BA442" s="547"/>
      <c r="BB442" s="547"/>
      <c r="BC442" s="547"/>
      <c r="BD442" s="547"/>
      <c r="BE442" s="547"/>
      <c r="BF442" s="547"/>
      <c r="BG442" s="547"/>
      <c r="BH442" s="547"/>
      <c r="BI442" s="547"/>
      <c r="BJ442" s="547"/>
      <c r="BK442" s="547"/>
      <c r="BL442" s="547"/>
      <c r="BM442" s="547"/>
      <c r="BN442" s="547"/>
      <c r="BO442" s="547"/>
      <c r="BP442" s="547"/>
      <c r="BQ442" s="547"/>
      <c r="BR442" s="547"/>
      <c r="BS442" s="547"/>
      <c r="BT442" s="547"/>
      <c r="BU442" s="547"/>
      <c r="BV442" s="547"/>
      <c r="BW442" s="547"/>
      <c r="BX442" s="547"/>
      <c r="BY442" s="547"/>
      <c r="BZ442" s="547"/>
      <c r="CA442" s="547"/>
      <c r="CB442" s="547"/>
      <c r="CC442" s="547"/>
    </row>
    <row r="443" spans="1:81">
      <c r="A443" s="547"/>
      <c r="B443" s="547"/>
      <c r="C443" s="547"/>
      <c r="D443" s="547"/>
      <c r="E443" s="547"/>
      <c r="F443" s="547"/>
      <c r="G443" s="547"/>
      <c r="H443" s="547"/>
      <c r="I443" s="547"/>
      <c r="J443" s="547"/>
      <c r="K443" s="547"/>
      <c r="L443" s="547"/>
      <c r="M443" s="547"/>
      <c r="N443" s="547"/>
      <c r="O443" s="547"/>
      <c r="P443" s="547"/>
      <c r="Q443" s="547"/>
      <c r="R443" s="547"/>
      <c r="S443" s="547"/>
      <c r="T443" s="547"/>
      <c r="U443" s="547"/>
      <c r="V443" s="547"/>
      <c r="W443" s="547"/>
      <c r="X443" s="547"/>
      <c r="Y443" s="547"/>
      <c r="Z443" s="547"/>
      <c r="AA443" s="547"/>
      <c r="AB443" s="547"/>
      <c r="AC443" s="547"/>
      <c r="AD443" s="547"/>
      <c r="AE443" s="547"/>
      <c r="AF443" s="547"/>
      <c r="AG443" s="547"/>
      <c r="AH443" s="547"/>
      <c r="AI443" s="547"/>
      <c r="AJ443" s="547"/>
      <c r="AK443" s="547"/>
      <c r="AL443" s="547"/>
      <c r="AM443" s="547"/>
      <c r="AN443" s="547"/>
      <c r="AO443" s="547"/>
      <c r="AP443" s="547"/>
      <c r="AQ443" s="547"/>
      <c r="AR443" s="547"/>
      <c r="AS443" s="547"/>
      <c r="AT443" s="547"/>
      <c r="AU443" s="547"/>
      <c r="AV443" s="547"/>
      <c r="AW443" s="547"/>
      <c r="AX443" s="547"/>
      <c r="AY443" s="547"/>
      <c r="AZ443" s="547"/>
      <c r="BA443" s="547"/>
      <c r="BB443" s="547"/>
      <c r="BC443" s="547"/>
      <c r="BD443" s="547"/>
      <c r="BE443" s="547"/>
      <c r="BF443" s="547"/>
      <c r="BG443" s="547"/>
      <c r="BH443" s="547"/>
      <c r="BI443" s="547"/>
      <c r="BJ443" s="547"/>
      <c r="BK443" s="547"/>
      <c r="BL443" s="547"/>
      <c r="BM443" s="547"/>
      <c r="BN443" s="547"/>
      <c r="BO443" s="547"/>
      <c r="BP443" s="547"/>
      <c r="BQ443" s="547"/>
      <c r="BR443" s="547"/>
      <c r="BS443" s="547"/>
      <c r="BT443" s="547"/>
      <c r="BU443" s="547"/>
      <c r="BV443" s="547"/>
      <c r="BW443" s="547"/>
      <c r="BX443" s="547"/>
      <c r="BY443" s="547"/>
      <c r="BZ443" s="547"/>
      <c r="CA443" s="547"/>
      <c r="CB443" s="547"/>
      <c r="CC443" s="547"/>
    </row>
    <row r="444" spans="1:81">
      <c r="A444" s="547"/>
      <c r="B444" s="547"/>
      <c r="C444" s="547"/>
      <c r="D444" s="547"/>
      <c r="E444" s="547"/>
      <c r="F444" s="547"/>
      <c r="G444" s="547"/>
      <c r="H444" s="547"/>
      <c r="I444" s="547"/>
      <c r="J444" s="547"/>
      <c r="K444" s="547"/>
      <c r="L444" s="547"/>
      <c r="M444" s="547"/>
      <c r="N444" s="547"/>
      <c r="O444" s="547"/>
      <c r="P444" s="547"/>
      <c r="Q444" s="547"/>
      <c r="R444" s="547"/>
      <c r="S444" s="547"/>
      <c r="T444" s="547"/>
      <c r="U444" s="547"/>
      <c r="V444" s="547"/>
      <c r="W444" s="547"/>
      <c r="X444" s="547"/>
      <c r="Y444" s="547"/>
      <c r="Z444" s="547"/>
      <c r="AA444" s="547"/>
      <c r="AB444" s="547"/>
      <c r="AC444" s="547"/>
      <c r="AD444" s="547"/>
      <c r="AE444" s="547"/>
      <c r="AF444" s="547"/>
      <c r="AG444" s="547"/>
      <c r="AH444" s="547"/>
      <c r="AI444" s="547"/>
      <c r="AJ444" s="547"/>
      <c r="AK444" s="547"/>
      <c r="AL444" s="547"/>
      <c r="AM444" s="547"/>
      <c r="AN444" s="547"/>
      <c r="AO444" s="547"/>
      <c r="AP444" s="547"/>
      <c r="AQ444" s="547"/>
      <c r="AR444" s="547"/>
      <c r="AS444" s="547"/>
      <c r="AT444" s="547"/>
      <c r="AU444" s="547"/>
      <c r="AV444" s="547"/>
      <c r="AW444" s="547"/>
      <c r="AX444" s="547"/>
      <c r="AY444" s="547"/>
      <c r="AZ444" s="547"/>
      <c r="BA444" s="547"/>
      <c r="BB444" s="547"/>
      <c r="BC444" s="547"/>
      <c r="BD444" s="547"/>
      <c r="BE444" s="547"/>
      <c r="BF444" s="547"/>
      <c r="BG444" s="547"/>
      <c r="BH444" s="547"/>
      <c r="BI444" s="547"/>
      <c r="BJ444" s="547"/>
      <c r="BK444" s="547"/>
      <c r="BL444" s="547"/>
      <c r="BM444" s="547"/>
      <c r="BN444" s="547"/>
      <c r="BO444" s="547"/>
      <c r="BP444" s="547"/>
      <c r="BQ444" s="547"/>
      <c r="BR444" s="547"/>
      <c r="BS444" s="547"/>
      <c r="BT444" s="547"/>
      <c r="BU444" s="547"/>
      <c r="BV444" s="547"/>
      <c r="BW444" s="547"/>
      <c r="BX444" s="547"/>
      <c r="BY444" s="547"/>
      <c r="BZ444" s="547"/>
      <c r="CA444" s="547"/>
      <c r="CB444" s="547"/>
      <c r="CC444" s="547"/>
    </row>
    <row r="445" spans="1:81">
      <c r="A445" s="547"/>
      <c r="B445" s="547"/>
      <c r="C445" s="547"/>
      <c r="D445" s="547"/>
      <c r="E445" s="547"/>
      <c r="F445" s="547"/>
      <c r="G445" s="547"/>
      <c r="H445" s="547"/>
      <c r="I445" s="547"/>
      <c r="J445" s="547"/>
      <c r="K445" s="547"/>
      <c r="L445" s="547"/>
      <c r="M445" s="547"/>
      <c r="N445" s="547"/>
      <c r="O445" s="547"/>
      <c r="P445" s="547"/>
      <c r="Q445" s="547"/>
      <c r="R445" s="547"/>
      <c r="S445" s="547"/>
      <c r="T445" s="547"/>
      <c r="U445" s="547"/>
      <c r="V445" s="547"/>
      <c r="W445" s="547"/>
      <c r="X445" s="547"/>
      <c r="Y445" s="547"/>
      <c r="Z445" s="547"/>
      <c r="AA445" s="547"/>
      <c r="AB445" s="547"/>
      <c r="AC445" s="547"/>
      <c r="AD445" s="547"/>
      <c r="AE445" s="547"/>
      <c r="AF445" s="547"/>
      <c r="AG445" s="547"/>
      <c r="AH445" s="547"/>
      <c r="AI445" s="547"/>
      <c r="AJ445" s="547"/>
      <c r="AK445" s="547"/>
      <c r="AL445" s="547"/>
      <c r="AM445" s="547"/>
      <c r="AN445" s="547"/>
      <c r="AO445" s="547"/>
      <c r="AP445" s="547"/>
      <c r="AQ445" s="547"/>
      <c r="AR445" s="547"/>
      <c r="AS445" s="547"/>
      <c r="AT445" s="547"/>
      <c r="AU445" s="547"/>
      <c r="AV445" s="547"/>
      <c r="AW445" s="547"/>
      <c r="AX445" s="547"/>
      <c r="AY445" s="547"/>
      <c r="AZ445" s="547"/>
      <c r="BA445" s="547"/>
      <c r="BB445" s="547"/>
      <c r="BC445" s="547"/>
      <c r="BD445" s="547"/>
      <c r="BE445" s="547"/>
      <c r="BF445" s="547"/>
      <c r="BG445" s="547"/>
      <c r="BH445" s="547"/>
      <c r="BI445" s="547"/>
      <c r="BJ445" s="547"/>
      <c r="BK445" s="547"/>
      <c r="BL445" s="547"/>
      <c r="BM445" s="547"/>
      <c r="BN445" s="547"/>
      <c r="BO445" s="547"/>
      <c r="BP445" s="547"/>
      <c r="BQ445" s="547"/>
      <c r="BR445" s="547"/>
      <c r="BS445" s="547"/>
      <c r="BT445" s="547"/>
      <c r="BU445" s="547"/>
      <c r="BV445" s="547"/>
      <c r="BW445" s="547"/>
      <c r="BX445" s="547"/>
      <c r="BY445" s="547"/>
      <c r="BZ445" s="547"/>
      <c r="CA445" s="547"/>
      <c r="CB445" s="547"/>
      <c r="CC445" s="547"/>
    </row>
    <row r="446" spans="1:81">
      <c r="A446" s="547"/>
      <c r="B446" s="547"/>
      <c r="C446" s="547"/>
      <c r="D446" s="547"/>
      <c r="E446" s="547"/>
      <c r="F446" s="547"/>
      <c r="G446" s="547"/>
      <c r="H446" s="547"/>
      <c r="I446" s="547"/>
      <c r="J446" s="547"/>
      <c r="K446" s="547"/>
      <c r="L446" s="547"/>
      <c r="M446" s="547"/>
      <c r="N446" s="547"/>
      <c r="O446" s="547"/>
      <c r="P446" s="547"/>
      <c r="Q446" s="547"/>
      <c r="R446" s="547"/>
      <c r="S446" s="547"/>
      <c r="T446" s="547"/>
      <c r="U446" s="547"/>
      <c r="V446" s="547"/>
      <c r="W446" s="547"/>
      <c r="X446" s="547"/>
      <c r="Y446" s="547"/>
      <c r="Z446" s="547"/>
      <c r="AA446" s="547"/>
      <c r="AB446" s="547"/>
      <c r="AC446" s="547"/>
      <c r="AD446" s="547"/>
      <c r="AE446" s="547"/>
      <c r="AF446" s="547"/>
      <c r="AG446" s="547"/>
      <c r="AH446" s="547"/>
      <c r="AI446" s="547"/>
      <c r="AJ446" s="547"/>
      <c r="AK446" s="547"/>
      <c r="AL446" s="547"/>
      <c r="AM446" s="547"/>
      <c r="AN446" s="547"/>
      <c r="AO446" s="547"/>
      <c r="AP446" s="547"/>
      <c r="AQ446" s="547"/>
      <c r="AR446" s="547"/>
      <c r="AS446" s="547"/>
      <c r="AT446" s="547"/>
      <c r="AU446" s="547"/>
      <c r="AV446" s="547"/>
      <c r="AW446" s="547"/>
      <c r="AX446" s="547"/>
      <c r="AY446" s="547"/>
      <c r="AZ446" s="547"/>
      <c r="BA446" s="547"/>
      <c r="BB446" s="547"/>
      <c r="BC446" s="547"/>
      <c r="BD446" s="547"/>
      <c r="BE446" s="547"/>
      <c r="BF446" s="547"/>
      <c r="BG446" s="547"/>
      <c r="BH446" s="547"/>
      <c r="BI446" s="547"/>
      <c r="BJ446" s="547"/>
      <c r="BK446" s="547"/>
      <c r="BL446" s="547"/>
      <c r="BM446" s="547"/>
      <c r="BN446" s="547"/>
      <c r="BO446" s="547"/>
      <c r="BP446" s="547"/>
      <c r="BQ446" s="547"/>
      <c r="BR446" s="547"/>
      <c r="BS446" s="547"/>
      <c r="BT446" s="547"/>
      <c r="BU446" s="547"/>
      <c r="BV446" s="547"/>
      <c r="BW446" s="547"/>
      <c r="BX446" s="547"/>
      <c r="BY446" s="547"/>
      <c r="BZ446" s="547"/>
      <c r="CA446" s="547"/>
      <c r="CB446" s="547"/>
      <c r="CC446" s="547"/>
    </row>
    <row r="447" spans="1:81">
      <c r="A447" s="547"/>
      <c r="B447" s="547"/>
      <c r="C447" s="547"/>
      <c r="D447" s="547"/>
      <c r="E447" s="547"/>
      <c r="F447" s="547"/>
      <c r="G447" s="547"/>
      <c r="H447" s="547"/>
      <c r="I447" s="547"/>
      <c r="J447" s="547"/>
      <c r="K447" s="547"/>
      <c r="L447" s="547"/>
      <c r="M447" s="547"/>
      <c r="N447" s="547"/>
      <c r="O447" s="547"/>
      <c r="P447" s="547"/>
      <c r="Q447" s="547"/>
      <c r="R447" s="547"/>
      <c r="S447" s="547"/>
      <c r="T447" s="547"/>
      <c r="U447" s="547"/>
      <c r="V447" s="547"/>
      <c r="W447" s="547"/>
      <c r="X447" s="547"/>
      <c r="Y447" s="547"/>
      <c r="Z447" s="547"/>
      <c r="AA447" s="547"/>
      <c r="AB447" s="547"/>
      <c r="AC447" s="547"/>
      <c r="AD447" s="547"/>
      <c r="AE447" s="547"/>
      <c r="AF447" s="547"/>
      <c r="AG447" s="547"/>
      <c r="AH447" s="547"/>
      <c r="AI447" s="547"/>
      <c r="AJ447" s="547"/>
      <c r="AK447" s="547"/>
      <c r="AL447" s="547"/>
      <c r="AM447" s="547"/>
      <c r="AN447" s="547"/>
      <c r="AO447" s="547"/>
      <c r="AP447" s="547"/>
      <c r="AQ447" s="547"/>
      <c r="AR447" s="547"/>
      <c r="AS447" s="547"/>
      <c r="AT447" s="547"/>
      <c r="AU447" s="547"/>
      <c r="AV447" s="547"/>
      <c r="AW447" s="547"/>
      <c r="AX447" s="547"/>
      <c r="AY447" s="547"/>
      <c r="AZ447" s="547"/>
      <c r="BA447" s="547"/>
      <c r="BB447" s="547"/>
      <c r="BC447" s="547"/>
      <c r="BD447" s="547"/>
      <c r="BE447" s="547"/>
      <c r="BF447" s="547"/>
      <c r="BG447" s="547"/>
      <c r="BH447" s="547"/>
      <c r="BI447" s="547"/>
      <c r="BJ447" s="547"/>
      <c r="BK447" s="547"/>
      <c r="BL447" s="547"/>
      <c r="BM447" s="547"/>
      <c r="BN447" s="547"/>
      <c r="BO447" s="547"/>
      <c r="BP447" s="547"/>
      <c r="BQ447" s="547"/>
      <c r="BR447" s="547"/>
      <c r="BS447" s="547"/>
      <c r="BT447" s="547"/>
      <c r="BU447" s="547"/>
      <c r="BV447" s="547"/>
      <c r="BW447" s="547"/>
      <c r="BX447" s="547"/>
      <c r="BY447" s="547"/>
      <c r="BZ447" s="547"/>
      <c r="CA447" s="547"/>
      <c r="CB447" s="547"/>
      <c r="CC447" s="547"/>
    </row>
    <row r="448" spans="1:81">
      <c r="A448" s="547"/>
      <c r="B448" s="547"/>
      <c r="C448" s="547"/>
      <c r="D448" s="547"/>
      <c r="E448" s="547"/>
      <c r="F448" s="547"/>
      <c r="G448" s="547"/>
      <c r="H448" s="547"/>
      <c r="I448" s="547"/>
      <c r="J448" s="547"/>
      <c r="K448" s="547"/>
      <c r="L448" s="547"/>
      <c r="M448" s="547"/>
      <c r="N448" s="547"/>
      <c r="O448" s="547"/>
      <c r="P448" s="547"/>
      <c r="Q448" s="547"/>
      <c r="R448" s="547"/>
      <c r="S448" s="547"/>
      <c r="T448" s="547"/>
      <c r="U448" s="547"/>
      <c r="V448" s="547"/>
      <c r="W448" s="547"/>
      <c r="X448" s="547"/>
      <c r="Y448" s="547"/>
      <c r="Z448" s="547"/>
      <c r="AA448" s="547"/>
      <c r="AB448" s="547"/>
      <c r="AC448" s="547"/>
      <c r="AD448" s="547"/>
      <c r="AE448" s="547"/>
      <c r="AF448" s="547"/>
      <c r="AG448" s="547"/>
      <c r="AH448" s="547"/>
      <c r="AI448" s="547"/>
      <c r="AJ448" s="547"/>
      <c r="AK448" s="547"/>
      <c r="AL448" s="547"/>
      <c r="AM448" s="547"/>
      <c r="AN448" s="547"/>
      <c r="AO448" s="547"/>
      <c r="AP448" s="547"/>
      <c r="AQ448" s="547"/>
      <c r="AR448" s="547"/>
      <c r="AS448" s="547"/>
      <c r="AT448" s="547"/>
      <c r="AU448" s="547"/>
      <c r="AV448" s="547"/>
      <c r="AW448" s="547"/>
      <c r="AX448" s="547"/>
      <c r="AY448" s="547"/>
      <c r="AZ448" s="547"/>
      <c r="BA448" s="547"/>
      <c r="BB448" s="547"/>
      <c r="BC448" s="547"/>
      <c r="BD448" s="547"/>
      <c r="BE448" s="547"/>
      <c r="BF448" s="547"/>
      <c r="BG448" s="547"/>
      <c r="BH448" s="547"/>
      <c r="BI448" s="547"/>
      <c r="BJ448" s="547"/>
      <c r="BK448" s="547"/>
      <c r="BL448" s="547"/>
      <c r="BM448" s="547"/>
      <c r="BN448" s="547"/>
      <c r="BO448" s="547"/>
      <c r="BP448" s="547"/>
      <c r="BQ448" s="547"/>
      <c r="BR448" s="547"/>
      <c r="BS448" s="547"/>
      <c r="BT448" s="547"/>
      <c r="BU448" s="547"/>
      <c r="BV448" s="547"/>
      <c r="BW448" s="547"/>
      <c r="BX448" s="547"/>
      <c r="BY448" s="547"/>
      <c r="BZ448" s="547"/>
      <c r="CA448" s="547"/>
      <c r="CB448" s="547"/>
      <c r="CC448" s="547"/>
    </row>
    <row r="449" spans="1:81">
      <c r="A449" s="547"/>
      <c r="B449" s="547"/>
      <c r="C449" s="547"/>
      <c r="D449" s="547"/>
      <c r="E449" s="547"/>
      <c r="F449" s="547"/>
      <c r="G449" s="547"/>
      <c r="H449" s="547"/>
      <c r="I449" s="547"/>
      <c r="J449" s="547"/>
      <c r="K449" s="547"/>
      <c r="L449" s="547"/>
      <c r="M449" s="547"/>
      <c r="N449" s="547"/>
      <c r="O449" s="547"/>
      <c r="P449" s="547"/>
      <c r="Q449" s="547"/>
      <c r="R449" s="547"/>
      <c r="S449" s="547"/>
      <c r="T449" s="547"/>
      <c r="U449" s="547"/>
      <c r="V449" s="547"/>
      <c r="W449" s="547"/>
      <c r="X449" s="547"/>
      <c r="Y449" s="547"/>
      <c r="Z449" s="547"/>
      <c r="AA449" s="547"/>
      <c r="AB449" s="547"/>
      <c r="AC449" s="547"/>
      <c r="AD449" s="547"/>
      <c r="AE449" s="547"/>
      <c r="AF449" s="547"/>
      <c r="AG449" s="547"/>
      <c r="AH449" s="547"/>
      <c r="AI449" s="547"/>
      <c r="AJ449" s="547"/>
      <c r="AK449" s="547"/>
      <c r="AL449" s="547"/>
      <c r="AM449" s="547"/>
      <c r="AN449" s="547"/>
      <c r="AO449" s="547"/>
      <c r="AP449" s="547"/>
      <c r="AQ449" s="547"/>
      <c r="AR449" s="547"/>
      <c r="AS449" s="547"/>
      <c r="AT449" s="547"/>
      <c r="AU449" s="547"/>
      <c r="AV449" s="547"/>
      <c r="AW449" s="547"/>
      <c r="AX449" s="547"/>
      <c r="AY449" s="547"/>
      <c r="AZ449" s="547"/>
      <c r="BA449" s="547"/>
      <c r="BB449" s="547"/>
      <c r="BC449" s="547"/>
      <c r="BD449" s="547"/>
      <c r="BE449" s="547"/>
      <c r="BF449" s="547"/>
      <c r="BG449" s="547"/>
      <c r="BH449" s="547"/>
      <c r="BI449" s="547"/>
      <c r="BJ449" s="547"/>
      <c r="BK449" s="547"/>
      <c r="BL449" s="547"/>
      <c r="BM449" s="547"/>
      <c r="BN449" s="547"/>
      <c r="BO449" s="547"/>
      <c r="BP449" s="547"/>
      <c r="BQ449" s="547"/>
      <c r="BR449" s="547"/>
      <c r="BS449" s="547"/>
      <c r="BT449" s="547"/>
      <c r="BU449" s="547"/>
      <c r="BV449" s="547"/>
      <c r="BW449" s="547"/>
      <c r="BX449" s="547"/>
      <c r="BY449" s="547"/>
      <c r="BZ449" s="547"/>
      <c r="CA449" s="547"/>
      <c r="CB449" s="547"/>
      <c r="CC449" s="547"/>
    </row>
    <row r="450" spans="1:81">
      <c r="A450" s="547"/>
      <c r="B450" s="547"/>
      <c r="C450" s="547"/>
      <c r="D450" s="547"/>
      <c r="E450" s="547"/>
      <c r="F450" s="547"/>
      <c r="G450" s="547"/>
      <c r="H450" s="547"/>
      <c r="I450" s="547"/>
      <c r="J450" s="547"/>
      <c r="K450" s="547"/>
      <c r="L450" s="547"/>
      <c r="M450" s="547"/>
      <c r="N450" s="547"/>
      <c r="O450" s="547"/>
      <c r="P450" s="547"/>
      <c r="Q450" s="547"/>
      <c r="R450" s="547"/>
      <c r="S450" s="547"/>
      <c r="T450" s="547"/>
      <c r="U450" s="547"/>
      <c r="V450" s="547"/>
      <c r="W450" s="547"/>
      <c r="X450" s="547"/>
      <c r="Y450" s="547"/>
      <c r="Z450" s="547"/>
      <c r="AA450" s="547"/>
      <c r="AB450" s="547"/>
      <c r="AC450" s="547"/>
      <c r="AD450" s="547"/>
      <c r="AE450" s="547"/>
      <c r="AF450" s="547"/>
      <c r="AG450" s="547"/>
      <c r="AH450" s="547"/>
      <c r="AI450" s="547"/>
      <c r="AJ450" s="547"/>
      <c r="AK450" s="547"/>
      <c r="AL450" s="547"/>
      <c r="AM450" s="547"/>
      <c r="AN450" s="547"/>
      <c r="AO450" s="547"/>
      <c r="AP450" s="547"/>
      <c r="AQ450" s="547"/>
      <c r="AR450" s="547"/>
      <c r="AS450" s="547"/>
      <c r="AT450" s="547"/>
      <c r="AU450" s="547"/>
      <c r="AV450" s="547"/>
      <c r="AW450" s="547"/>
      <c r="AX450" s="547"/>
      <c r="AY450" s="547"/>
      <c r="AZ450" s="547"/>
      <c r="BA450" s="547"/>
      <c r="BB450" s="547"/>
      <c r="BC450" s="547"/>
      <c r="BD450" s="547"/>
      <c r="BE450" s="547"/>
      <c r="BF450" s="547"/>
      <c r="BG450" s="547"/>
      <c r="BH450" s="547"/>
      <c r="BI450" s="547"/>
      <c r="BJ450" s="547"/>
      <c r="BK450" s="547"/>
      <c r="BL450" s="547"/>
      <c r="BM450" s="547"/>
      <c r="BN450" s="547"/>
      <c r="BO450" s="547"/>
      <c r="BP450" s="547"/>
      <c r="BQ450" s="547"/>
      <c r="BR450" s="547"/>
      <c r="BS450" s="547"/>
      <c r="BT450" s="547"/>
      <c r="BU450" s="547"/>
      <c r="BV450" s="547"/>
      <c r="BW450" s="547"/>
      <c r="BX450" s="547"/>
      <c r="BY450" s="547"/>
      <c r="BZ450" s="547"/>
      <c r="CA450" s="547"/>
      <c r="CB450" s="547"/>
      <c r="CC450" s="547"/>
    </row>
    <row r="451" spans="1:81">
      <c r="A451" s="547"/>
      <c r="B451" s="547"/>
      <c r="C451" s="547"/>
      <c r="D451" s="547"/>
      <c r="E451" s="547"/>
      <c r="F451" s="547"/>
      <c r="G451" s="547"/>
      <c r="H451" s="547"/>
      <c r="I451" s="547"/>
      <c r="J451" s="547"/>
      <c r="K451" s="547"/>
      <c r="L451" s="547"/>
      <c r="M451" s="547"/>
      <c r="N451" s="547"/>
      <c r="O451" s="547"/>
      <c r="P451" s="547"/>
      <c r="Q451" s="547"/>
      <c r="R451" s="547"/>
      <c r="S451" s="547"/>
      <c r="T451" s="547"/>
      <c r="U451" s="547"/>
      <c r="V451" s="547"/>
      <c r="W451" s="547"/>
      <c r="X451" s="547"/>
      <c r="Y451" s="547"/>
      <c r="Z451" s="547"/>
      <c r="AA451" s="547"/>
      <c r="AB451" s="547"/>
      <c r="AC451" s="547"/>
      <c r="AD451" s="547"/>
      <c r="AE451" s="547"/>
      <c r="AF451" s="547"/>
      <c r="AG451" s="547"/>
      <c r="AH451" s="547"/>
      <c r="AI451" s="547"/>
      <c r="AJ451" s="547"/>
      <c r="AK451" s="547"/>
      <c r="AL451" s="547"/>
      <c r="AM451" s="547"/>
      <c r="AN451" s="547"/>
      <c r="AO451" s="547"/>
      <c r="AP451" s="547"/>
      <c r="AQ451" s="547"/>
      <c r="AR451" s="547"/>
      <c r="AS451" s="547"/>
      <c r="AT451" s="547"/>
      <c r="AU451" s="547"/>
      <c r="AV451" s="547"/>
      <c r="AW451" s="547"/>
      <c r="AX451" s="547"/>
      <c r="AY451" s="547"/>
      <c r="AZ451" s="547"/>
      <c r="BA451" s="547"/>
      <c r="BB451" s="547"/>
      <c r="BC451" s="547"/>
      <c r="BD451" s="547"/>
      <c r="BE451" s="547"/>
      <c r="BF451" s="547"/>
      <c r="BG451" s="547"/>
      <c r="BH451" s="547"/>
      <c r="BI451" s="547"/>
      <c r="BJ451" s="547"/>
      <c r="BK451" s="547"/>
      <c r="BL451" s="547"/>
      <c r="BM451" s="547"/>
      <c r="BN451" s="547"/>
      <c r="BO451" s="547"/>
      <c r="BP451" s="547"/>
      <c r="BQ451" s="547"/>
      <c r="BR451" s="547"/>
      <c r="BS451" s="547"/>
      <c r="BT451" s="547"/>
      <c r="BU451" s="547"/>
      <c r="BV451" s="547"/>
      <c r="BW451" s="547"/>
      <c r="BX451" s="547"/>
      <c r="BY451" s="547"/>
      <c r="BZ451" s="547"/>
      <c r="CA451" s="547"/>
      <c r="CB451" s="547"/>
      <c r="CC451" s="547"/>
    </row>
    <row r="452" spans="1:81">
      <c r="A452" s="547"/>
      <c r="B452" s="547"/>
      <c r="C452" s="547"/>
      <c r="D452" s="547"/>
      <c r="E452" s="547"/>
      <c r="F452" s="547"/>
      <c r="G452" s="547"/>
      <c r="H452" s="547"/>
      <c r="I452" s="547"/>
      <c r="J452" s="547"/>
      <c r="K452" s="547"/>
      <c r="L452" s="547"/>
      <c r="M452" s="547"/>
      <c r="N452" s="547"/>
      <c r="O452" s="547"/>
      <c r="P452" s="547"/>
      <c r="Q452" s="547"/>
      <c r="R452" s="547"/>
      <c r="S452" s="547"/>
      <c r="T452" s="547"/>
      <c r="U452" s="547"/>
      <c r="V452" s="547"/>
      <c r="W452" s="547"/>
      <c r="X452" s="547"/>
      <c r="Y452" s="547"/>
      <c r="Z452" s="547"/>
      <c r="AA452" s="547"/>
      <c r="AB452" s="547"/>
      <c r="AC452" s="547"/>
      <c r="AD452" s="547"/>
      <c r="AE452" s="547"/>
      <c r="AF452" s="547"/>
      <c r="AG452" s="547"/>
      <c r="AH452" s="547"/>
      <c r="AI452" s="547"/>
      <c r="AJ452" s="547"/>
      <c r="AK452" s="547"/>
      <c r="AL452" s="547"/>
      <c r="AM452" s="547"/>
      <c r="AN452" s="547"/>
      <c r="AO452" s="547"/>
      <c r="AP452" s="547"/>
      <c r="AQ452" s="547"/>
      <c r="AR452" s="547"/>
      <c r="AS452" s="547"/>
      <c r="AT452" s="547"/>
      <c r="AU452" s="547"/>
      <c r="AV452" s="547"/>
      <c r="AW452" s="547"/>
      <c r="AX452" s="547"/>
      <c r="AY452" s="547"/>
      <c r="AZ452" s="547"/>
      <c r="BA452" s="547"/>
      <c r="BB452" s="547"/>
      <c r="BC452" s="547"/>
      <c r="BD452" s="547"/>
      <c r="BE452" s="547"/>
      <c r="BF452" s="547"/>
      <c r="BG452" s="547"/>
      <c r="BH452" s="547"/>
      <c r="BI452" s="547"/>
      <c r="BJ452" s="547"/>
      <c r="BK452" s="547"/>
      <c r="BL452" s="547"/>
      <c r="BM452" s="547"/>
      <c r="BN452" s="547"/>
      <c r="BO452" s="547"/>
      <c r="BP452" s="547"/>
      <c r="BQ452" s="547"/>
      <c r="BR452" s="547"/>
      <c r="BS452" s="547"/>
      <c r="BT452" s="547"/>
      <c r="BU452" s="547"/>
      <c r="BV452" s="547"/>
      <c r="BW452" s="547"/>
      <c r="BX452" s="547"/>
      <c r="BY452" s="547"/>
      <c r="BZ452" s="547"/>
      <c r="CA452" s="547"/>
      <c r="CB452" s="547"/>
      <c r="CC452" s="547"/>
    </row>
    <row r="453" spans="1:81">
      <c r="A453" s="547"/>
      <c r="B453" s="547"/>
      <c r="C453" s="547"/>
      <c r="D453" s="547"/>
      <c r="E453" s="547"/>
      <c r="F453" s="547"/>
      <c r="G453" s="547"/>
      <c r="H453" s="547"/>
      <c r="I453" s="547"/>
      <c r="J453" s="547"/>
      <c r="K453" s="547"/>
      <c r="L453" s="547"/>
      <c r="M453" s="547"/>
      <c r="N453" s="547"/>
      <c r="O453" s="547"/>
      <c r="P453" s="547"/>
      <c r="Q453" s="547"/>
      <c r="R453" s="547"/>
      <c r="S453" s="547"/>
      <c r="T453" s="547"/>
      <c r="U453" s="547"/>
      <c r="V453" s="547"/>
      <c r="W453" s="547"/>
      <c r="X453" s="547"/>
      <c r="Y453" s="547"/>
      <c r="Z453" s="547"/>
      <c r="AA453" s="547"/>
      <c r="AB453" s="547"/>
      <c r="AC453" s="547"/>
      <c r="AD453" s="547"/>
      <c r="AE453" s="547"/>
      <c r="AF453" s="547"/>
      <c r="AG453" s="547"/>
      <c r="AH453" s="547"/>
      <c r="AI453" s="547"/>
      <c r="AJ453" s="547"/>
      <c r="AK453" s="547"/>
      <c r="AL453" s="547"/>
      <c r="AM453" s="547"/>
      <c r="AN453" s="547"/>
      <c r="AO453" s="547"/>
      <c r="AP453" s="547"/>
      <c r="AQ453" s="547"/>
      <c r="AR453" s="547"/>
      <c r="AS453" s="547"/>
      <c r="AT453" s="547"/>
      <c r="AU453" s="547"/>
      <c r="AV453" s="547"/>
      <c r="AW453" s="547"/>
      <c r="AX453" s="547"/>
      <c r="AY453" s="547"/>
      <c r="AZ453" s="547"/>
      <c r="BA453" s="547"/>
      <c r="BB453" s="547"/>
      <c r="BC453" s="547"/>
      <c r="BD453" s="547"/>
      <c r="BE453" s="547"/>
      <c r="BF453" s="547"/>
      <c r="BG453" s="547"/>
      <c r="BH453" s="547"/>
      <c r="BI453" s="547"/>
      <c r="BJ453" s="547"/>
      <c r="BK453" s="547"/>
      <c r="BL453" s="547"/>
      <c r="BM453" s="547"/>
      <c r="BN453" s="547"/>
      <c r="BO453" s="547"/>
      <c r="BP453" s="547"/>
      <c r="BQ453" s="547"/>
      <c r="BR453" s="547"/>
      <c r="BS453" s="547"/>
      <c r="BT453" s="547"/>
      <c r="BU453" s="547"/>
      <c r="BV453" s="547"/>
      <c r="BW453" s="547"/>
      <c r="BX453" s="547"/>
      <c r="BY453" s="547"/>
      <c r="BZ453" s="547"/>
      <c r="CA453" s="547"/>
      <c r="CB453" s="547"/>
      <c r="CC453" s="547"/>
    </row>
    <row r="454" spans="1:81">
      <c r="A454" s="547"/>
      <c r="B454" s="547"/>
      <c r="C454" s="547"/>
      <c r="D454" s="547"/>
      <c r="E454" s="547"/>
      <c r="F454" s="547"/>
      <c r="G454" s="547"/>
      <c r="H454" s="547"/>
      <c r="I454" s="547"/>
      <c r="J454" s="547"/>
      <c r="K454" s="547"/>
      <c r="L454" s="547"/>
      <c r="M454" s="547"/>
      <c r="N454" s="547"/>
      <c r="O454" s="547"/>
      <c r="P454" s="547"/>
      <c r="Q454" s="547"/>
      <c r="R454" s="547"/>
      <c r="S454" s="547"/>
      <c r="T454" s="547"/>
      <c r="U454" s="547"/>
      <c r="V454" s="547"/>
      <c r="W454" s="547"/>
      <c r="X454" s="547"/>
      <c r="Y454" s="547"/>
      <c r="Z454" s="547"/>
      <c r="AA454" s="547"/>
      <c r="AB454" s="547"/>
      <c r="AC454" s="547"/>
      <c r="AD454" s="547"/>
      <c r="AE454" s="547"/>
      <c r="AF454" s="547"/>
      <c r="AG454" s="547"/>
      <c r="AH454" s="547"/>
      <c r="AI454" s="547"/>
      <c r="AJ454" s="547"/>
      <c r="AK454" s="547"/>
      <c r="AL454" s="547"/>
      <c r="AM454" s="547"/>
      <c r="AN454" s="547"/>
      <c r="AO454" s="547"/>
      <c r="AP454" s="547"/>
      <c r="AQ454" s="547"/>
      <c r="AR454" s="547"/>
      <c r="AS454" s="547"/>
      <c r="AT454" s="547"/>
      <c r="AU454" s="547"/>
      <c r="AV454" s="547"/>
      <c r="AW454" s="547"/>
      <c r="AX454" s="547"/>
      <c r="AY454" s="547"/>
      <c r="AZ454" s="547"/>
      <c r="BA454" s="547"/>
      <c r="BB454" s="547"/>
      <c r="BC454" s="547"/>
      <c r="BD454" s="547"/>
      <c r="BE454" s="547"/>
      <c r="BF454" s="547"/>
      <c r="BG454" s="547"/>
      <c r="BH454" s="547"/>
      <c r="BI454" s="547"/>
      <c r="BJ454" s="547"/>
      <c r="BK454" s="547"/>
      <c r="BL454" s="547"/>
      <c r="BM454" s="547"/>
      <c r="BN454" s="547"/>
      <c r="BO454" s="547"/>
      <c r="BP454" s="547"/>
      <c r="BQ454" s="547"/>
      <c r="BR454" s="547"/>
      <c r="BS454" s="547"/>
      <c r="BT454" s="547"/>
      <c r="BU454" s="547"/>
      <c r="BV454" s="547"/>
      <c r="BW454" s="547"/>
      <c r="BX454" s="547"/>
      <c r="BY454" s="547"/>
      <c r="BZ454" s="547"/>
      <c r="CA454" s="547"/>
      <c r="CB454" s="547"/>
      <c r="CC454" s="547"/>
    </row>
    <row r="455" spans="1:81">
      <c r="A455" s="547"/>
      <c r="B455" s="547"/>
      <c r="C455" s="547"/>
      <c r="D455" s="547"/>
      <c r="E455" s="547"/>
      <c r="F455" s="547"/>
      <c r="G455" s="547"/>
      <c r="H455" s="547"/>
      <c r="I455" s="547"/>
      <c r="J455" s="547"/>
      <c r="K455" s="547"/>
      <c r="L455" s="547"/>
      <c r="M455" s="547"/>
      <c r="N455" s="547"/>
      <c r="O455" s="547"/>
      <c r="P455" s="547"/>
      <c r="Q455" s="547"/>
      <c r="R455" s="547"/>
      <c r="S455" s="547"/>
      <c r="T455" s="547"/>
      <c r="U455" s="547"/>
      <c r="V455" s="547"/>
      <c r="W455" s="547"/>
      <c r="X455" s="547"/>
      <c r="Y455" s="547"/>
      <c r="Z455" s="547"/>
      <c r="AA455" s="547"/>
      <c r="AB455" s="547"/>
      <c r="AC455" s="547"/>
      <c r="AD455" s="547"/>
      <c r="AE455" s="547"/>
      <c r="AF455" s="547"/>
      <c r="AG455" s="547"/>
      <c r="AH455" s="547"/>
      <c r="AI455" s="547"/>
      <c r="AJ455" s="547"/>
      <c r="AK455" s="547"/>
      <c r="AL455" s="547"/>
      <c r="AM455" s="547"/>
      <c r="AN455" s="547"/>
      <c r="AO455" s="547"/>
      <c r="AP455" s="547"/>
      <c r="AQ455" s="547"/>
      <c r="AR455" s="547"/>
      <c r="AS455" s="547"/>
      <c r="AT455" s="547"/>
      <c r="AU455" s="547"/>
      <c r="AV455" s="547"/>
      <c r="AW455" s="547"/>
      <c r="AX455" s="547"/>
      <c r="AY455" s="547"/>
      <c r="AZ455" s="547"/>
      <c r="BA455" s="547"/>
      <c r="BB455" s="547"/>
      <c r="BC455" s="547"/>
      <c r="BD455" s="547"/>
      <c r="BE455" s="547"/>
      <c r="BF455" s="547"/>
      <c r="BG455" s="547"/>
      <c r="BH455" s="547"/>
      <c r="BI455" s="547"/>
      <c r="BJ455" s="547"/>
      <c r="BK455" s="547"/>
      <c r="BL455" s="547"/>
      <c r="BM455" s="547"/>
      <c r="BN455" s="547"/>
      <c r="BO455" s="547"/>
      <c r="BP455" s="547"/>
      <c r="BQ455" s="547"/>
      <c r="BR455" s="547"/>
      <c r="BS455" s="547"/>
      <c r="BT455" s="547"/>
      <c r="BU455" s="547"/>
      <c r="BV455" s="547"/>
      <c r="BW455" s="547"/>
      <c r="BX455" s="547"/>
      <c r="BY455" s="547"/>
      <c r="BZ455" s="547"/>
      <c r="CA455" s="547"/>
      <c r="CB455" s="547"/>
      <c r="CC455" s="547"/>
    </row>
    <row r="456" spans="1:81">
      <c r="A456" s="547"/>
      <c r="B456" s="547"/>
      <c r="C456" s="547"/>
      <c r="D456" s="547"/>
      <c r="E456" s="547"/>
      <c r="F456" s="547"/>
      <c r="G456" s="547"/>
      <c r="H456" s="547"/>
      <c r="I456" s="547"/>
      <c r="J456" s="547"/>
      <c r="K456" s="547"/>
      <c r="L456" s="547"/>
      <c r="M456" s="547"/>
      <c r="N456" s="547"/>
      <c r="O456" s="547"/>
      <c r="P456" s="547"/>
      <c r="Q456" s="547"/>
      <c r="R456" s="547"/>
      <c r="S456" s="547"/>
      <c r="T456" s="547"/>
      <c r="U456" s="547"/>
      <c r="V456" s="547"/>
      <c r="W456" s="547"/>
      <c r="X456" s="547"/>
      <c r="Y456" s="547"/>
      <c r="Z456" s="547"/>
      <c r="AA456" s="547"/>
      <c r="AB456" s="547"/>
      <c r="AC456" s="547"/>
      <c r="AD456" s="547"/>
      <c r="AE456" s="547"/>
      <c r="AF456" s="547"/>
      <c r="AG456" s="547"/>
      <c r="AH456" s="547"/>
      <c r="AI456" s="547"/>
      <c r="AJ456" s="547"/>
      <c r="AK456" s="547"/>
      <c r="AL456" s="547"/>
      <c r="AM456" s="547"/>
      <c r="AN456" s="547"/>
      <c r="AO456" s="547"/>
      <c r="AP456" s="547"/>
      <c r="AQ456" s="547"/>
      <c r="AR456" s="547"/>
      <c r="AS456" s="547"/>
      <c r="AT456" s="547"/>
      <c r="AU456" s="547"/>
      <c r="AV456" s="547"/>
      <c r="AW456" s="547"/>
      <c r="AX456" s="547"/>
      <c r="AY456" s="547"/>
      <c r="AZ456" s="547"/>
      <c r="BA456" s="547"/>
      <c r="BB456" s="547"/>
      <c r="BC456" s="547"/>
      <c r="BD456" s="547"/>
      <c r="BE456" s="547"/>
      <c r="BF456" s="547"/>
      <c r="BG456" s="547"/>
      <c r="BH456" s="547"/>
      <c r="BI456" s="547"/>
      <c r="BJ456" s="547"/>
      <c r="BK456" s="547"/>
      <c r="BL456" s="547"/>
      <c r="BM456" s="547"/>
      <c r="BN456" s="547"/>
      <c r="BO456" s="547"/>
      <c r="BP456" s="547"/>
      <c r="BQ456" s="547"/>
      <c r="BR456" s="547"/>
      <c r="BS456" s="547"/>
      <c r="BT456" s="547"/>
      <c r="BU456" s="547"/>
      <c r="BV456" s="547"/>
      <c r="BW456" s="547"/>
      <c r="BX456" s="547"/>
      <c r="BY456" s="547"/>
      <c r="BZ456" s="547"/>
      <c r="CA456" s="547"/>
      <c r="CB456" s="547"/>
      <c r="CC456" s="547"/>
    </row>
    <row r="457" spans="1:81">
      <c r="A457" s="547"/>
      <c r="B457" s="547"/>
      <c r="C457" s="547"/>
      <c r="D457" s="547"/>
      <c r="E457" s="547"/>
      <c r="F457" s="547"/>
      <c r="G457" s="547"/>
      <c r="H457" s="547"/>
      <c r="I457" s="547"/>
      <c r="J457" s="547"/>
      <c r="K457" s="547"/>
      <c r="L457" s="547"/>
      <c r="M457" s="547"/>
      <c r="N457" s="547"/>
      <c r="O457" s="547"/>
      <c r="P457" s="547"/>
      <c r="Q457" s="547"/>
      <c r="R457" s="547"/>
      <c r="S457" s="547"/>
      <c r="T457" s="547"/>
      <c r="U457" s="547"/>
      <c r="V457" s="547"/>
      <c r="W457" s="547"/>
      <c r="X457" s="547"/>
      <c r="Y457" s="547"/>
      <c r="Z457" s="547"/>
      <c r="AA457" s="547"/>
      <c r="AB457" s="547"/>
      <c r="AC457" s="547"/>
      <c r="AD457" s="547"/>
      <c r="AE457" s="547"/>
      <c r="AF457" s="547"/>
      <c r="AG457" s="547"/>
      <c r="AH457" s="547"/>
      <c r="AI457" s="547"/>
      <c r="AJ457" s="547"/>
      <c r="AK457" s="547"/>
      <c r="AL457" s="547"/>
      <c r="AM457" s="547"/>
      <c r="AN457" s="547"/>
      <c r="AO457" s="547"/>
      <c r="AP457" s="547"/>
      <c r="AQ457" s="547"/>
      <c r="AR457" s="547"/>
      <c r="AS457" s="547"/>
      <c r="AT457" s="547"/>
      <c r="AU457" s="547"/>
      <c r="AV457" s="547"/>
      <c r="AW457" s="547"/>
      <c r="AX457" s="547"/>
      <c r="AY457" s="547"/>
      <c r="AZ457" s="547"/>
      <c r="BA457" s="547"/>
      <c r="BB457" s="547"/>
      <c r="BC457" s="547"/>
      <c r="BD457" s="547"/>
      <c r="BE457" s="547"/>
      <c r="BF457" s="547"/>
      <c r="BG457" s="547"/>
      <c r="BH457" s="547"/>
      <c r="BI457" s="547"/>
      <c r="BJ457" s="547"/>
      <c r="BK457" s="547"/>
      <c r="BL457" s="547"/>
      <c r="BM457" s="547"/>
      <c r="BN457" s="547"/>
      <c r="BO457" s="547"/>
      <c r="BP457" s="547"/>
      <c r="BQ457" s="547"/>
      <c r="BR457" s="547"/>
      <c r="BS457" s="547"/>
      <c r="BT457" s="547"/>
      <c r="BU457" s="547"/>
      <c r="BV457" s="547"/>
      <c r="BW457" s="547"/>
      <c r="BX457" s="547"/>
      <c r="BY457" s="547"/>
      <c r="BZ457" s="547"/>
      <c r="CA457" s="547"/>
      <c r="CB457" s="547"/>
      <c r="CC457" s="547"/>
    </row>
    <row r="458" spans="1:81">
      <c r="A458" s="547"/>
      <c r="B458" s="547"/>
      <c r="C458" s="547"/>
      <c r="D458" s="547"/>
      <c r="E458" s="547"/>
      <c r="F458" s="547"/>
      <c r="G458" s="547"/>
      <c r="H458" s="547"/>
      <c r="I458" s="547"/>
      <c r="J458" s="547"/>
      <c r="K458" s="547"/>
      <c r="L458" s="547"/>
      <c r="M458" s="547"/>
      <c r="N458" s="547"/>
      <c r="O458" s="547"/>
      <c r="P458" s="547"/>
      <c r="Q458" s="547"/>
      <c r="R458" s="547"/>
      <c r="S458" s="547"/>
      <c r="T458" s="547"/>
      <c r="U458" s="547"/>
      <c r="V458" s="547"/>
      <c r="W458" s="547"/>
      <c r="X458" s="547"/>
      <c r="Y458" s="547"/>
      <c r="Z458" s="547"/>
      <c r="AA458" s="547"/>
      <c r="AB458" s="547"/>
      <c r="AC458" s="547"/>
      <c r="AD458" s="547"/>
      <c r="AE458" s="547"/>
      <c r="AF458" s="547"/>
      <c r="AG458" s="547"/>
      <c r="AH458" s="547"/>
      <c r="AI458" s="547"/>
      <c r="AJ458" s="547"/>
      <c r="AK458" s="547"/>
      <c r="AL458" s="547"/>
      <c r="AM458" s="547"/>
      <c r="AN458" s="547"/>
      <c r="AO458" s="547"/>
      <c r="AP458" s="547"/>
      <c r="AQ458" s="547"/>
      <c r="AR458" s="547"/>
      <c r="AS458" s="547"/>
      <c r="AT458" s="547"/>
      <c r="AU458" s="547"/>
      <c r="AV458" s="547"/>
      <c r="AW458" s="547"/>
      <c r="AX458" s="547"/>
      <c r="AY458" s="547"/>
      <c r="AZ458" s="547"/>
      <c r="BA458" s="547"/>
      <c r="BB458" s="547"/>
      <c r="BC458" s="547"/>
      <c r="BD458" s="547"/>
      <c r="BE458" s="547"/>
      <c r="BF458" s="547"/>
      <c r="BG458" s="547"/>
      <c r="BH458" s="547"/>
      <c r="BI458" s="547"/>
      <c r="BJ458" s="547"/>
      <c r="BK458" s="547"/>
      <c r="BL458" s="547"/>
      <c r="BM458" s="547"/>
      <c r="BN458" s="547"/>
      <c r="BO458" s="547"/>
      <c r="BP458" s="547"/>
      <c r="BQ458" s="547"/>
      <c r="BR458" s="547"/>
      <c r="BS458" s="547"/>
      <c r="BT458" s="547"/>
      <c r="BU458" s="547"/>
      <c r="BV458" s="547"/>
      <c r="BW458" s="547"/>
      <c r="BX458" s="547"/>
      <c r="BY458" s="547"/>
      <c r="BZ458" s="547"/>
      <c r="CA458" s="547"/>
      <c r="CB458" s="547"/>
      <c r="CC458" s="547"/>
    </row>
    <row r="459" spans="1:81">
      <c r="A459" s="547"/>
      <c r="B459" s="547"/>
      <c r="C459" s="547"/>
      <c r="D459" s="547"/>
      <c r="E459" s="547"/>
      <c r="F459" s="547"/>
      <c r="G459" s="547"/>
      <c r="H459" s="547"/>
      <c r="I459" s="547"/>
      <c r="J459" s="547"/>
      <c r="K459" s="547"/>
      <c r="L459" s="547"/>
      <c r="M459" s="547"/>
      <c r="N459" s="547"/>
      <c r="O459" s="547"/>
      <c r="P459" s="547"/>
      <c r="Q459" s="547"/>
      <c r="R459" s="547"/>
      <c r="S459" s="547"/>
      <c r="T459" s="547"/>
      <c r="U459" s="547"/>
      <c r="V459" s="547"/>
      <c r="W459" s="547"/>
      <c r="X459" s="547"/>
      <c r="Y459" s="547"/>
      <c r="Z459" s="547"/>
      <c r="AA459" s="547"/>
      <c r="AB459" s="547"/>
      <c r="AC459" s="547"/>
      <c r="AD459" s="547"/>
      <c r="AE459" s="547"/>
      <c r="AF459" s="547"/>
      <c r="AG459" s="547"/>
      <c r="AH459" s="547"/>
      <c r="AI459" s="547"/>
      <c r="AJ459" s="547"/>
      <c r="AK459" s="547"/>
      <c r="AL459" s="547"/>
      <c r="AM459" s="547"/>
      <c r="AN459" s="547"/>
      <c r="AO459" s="547"/>
      <c r="AP459" s="547"/>
      <c r="AQ459" s="547"/>
      <c r="AR459" s="547"/>
      <c r="AS459" s="547"/>
      <c r="AT459" s="547"/>
      <c r="AU459" s="547"/>
      <c r="AV459" s="547"/>
      <c r="AW459" s="547"/>
      <c r="AX459" s="547"/>
      <c r="AY459" s="547"/>
      <c r="AZ459" s="547"/>
      <c r="BA459" s="547"/>
      <c r="BB459" s="547"/>
      <c r="BC459" s="547"/>
      <c r="BD459" s="547"/>
      <c r="BE459" s="547"/>
      <c r="BF459" s="547"/>
      <c r="BG459" s="547"/>
      <c r="BH459" s="547"/>
      <c r="BI459" s="547"/>
      <c r="BJ459" s="547"/>
      <c r="BK459" s="547"/>
      <c r="BL459" s="547"/>
      <c r="BM459" s="547"/>
      <c r="BN459" s="547"/>
      <c r="BO459" s="547"/>
      <c r="BP459" s="547"/>
      <c r="BQ459" s="547"/>
      <c r="BR459" s="547"/>
      <c r="BS459" s="547"/>
      <c r="BT459" s="547"/>
      <c r="BU459" s="547"/>
      <c r="BV459" s="547"/>
      <c r="BW459" s="547"/>
      <c r="BX459" s="547"/>
      <c r="BY459" s="547"/>
      <c r="BZ459" s="547"/>
      <c r="CA459" s="547"/>
      <c r="CB459" s="547"/>
      <c r="CC459" s="547"/>
    </row>
    <row r="460" spans="1:81">
      <c r="A460" s="547"/>
      <c r="B460" s="547"/>
      <c r="C460" s="547"/>
      <c r="D460" s="547"/>
      <c r="E460" s="547"/>
      <c r="F460" s="547"/>
      <c r="G460" s="547"/>
      <c r="H460" s="547"/>
      <c r="I460" s="547"/>
      <c r="J460" s="547"/>
      <c r="K460" s="547"/>
      <c r="L460" s="547"/>
      <c r="M460" s="547"/>
      <c r="N460" s="547"/>
      <c r="O460" s="547"/>
      <c r="P460" s="547"/>
      <c r="Q460" s="547"/>
      <c r="R460" s="547"/>
      <c r="S460" s="547"/>
      <c r="T460" s="547"/>
      <c r="U460" s="547"/>
      <c r="V460" s="547"/>
      <c r="W460" s="547"/>
      <c r="X460" s="547"/>
      <c r="Y460" s="547"/>
      <c r="Z460" s="547"/>
      <c r="AA460" s="547"/>
      <c r="AB460" s="547"/>
      <c r="AC460" s="547"/>
      <c r="AD460" s="547"/>
      <c r="AE460" s="547"/>
      <c r="AF460" s="547"/>
      <c r="AG460" s="547"/>
      <c r="AH460" s="547"/>
      <c r="AI460" s="547"/>
      <c r="AJ460" s="547"/>
      <c r="AK460" s="547"/>
      <c r="AL460" s="547"/>
      <c r="AM460" s="547"/>
      <c r="AN460" s="547"/>
      <c r="AO460" s="547"/>
      <c r="AP460" s="547"/>
      <c r="AQ460" s="547"/>
      <c r="AR460" s="547"/>
      <c r="AS460" s="547"/>
      <c r="AT460" s="547"/>
      <c r="AU460" s="547"/>
      <c r="AV460" s="547"/>
      <c r="AW460" s="547"/>
      <c r="AX460" s="547"/>
      <c r="AY460" s="547"/>
      <c r="AZ460" s="547"/>
      <c r="BA460" s="547"/>
      <c r="BB460" s="547"/>
      <c r="BC460" s="547"/>
      <c r="BD460" s="547"/>
      <c r="BE460" s="547"/>
      <c r="BF460" s="547"/>
      <c r="BG460" s="547"/>
      <c r="BH460" s="547"/>
      <c r="BI460" s="547"/>
      <c r="BJ460" s="547"/>
      <c r="BK460" s="547"/>
      <c r="BL460" s="547"/>
      <c r="BM460" s="547"/>
      <c r="BN460" s="547"/>
      <c r="BO460" s="547"/>
      <c r="BP460" s="547"/>
      <c r="BQ460" s="547"/>
      <c r="BR460" s="547"/>
      <c r="BS460" s="547"/>
      <c r="BT460" s="547"/>
      <c r="BU460" s="547"/>
      <c r="BV460" s="547"/>
      <c r="BW460" s="547"/>
      <c r="BX460" s="547"/>
      <c r="BY460" s="547"/>
      <c r="BZ460" s="547"/>
      <c r="CA460" s="547"/>
      <c r="CB460" s="547"/>
      <c r="CC460" s="547"/>
    </row>
    <row r="461" spans="1:81">
      <c r="A461" s="547"/>
      <c r="B461" s="547"/>
      <c r="C461" s="547"/>
      <c r="D461" s="547"/>
      <c r="E461" s="547"/>
      <c r="F461" s="547"/>
      <c r="G461" s="547"/>
      <c r="H461" s="547"/>
      <c r="I461" s="547"/>
      <c r="J461" s="547"/>
      <c r="K461" s="547"/>
      <c r="L461" s="547"/>
      <c r="M461" s="547"/>
      <c r="N461" s="547"/>
      <c r="O461" s="547"/>
      <c r="P461" s="547"/>
      <c r="Q461" s="547"/>
      <c r="R461" s="547"/>
      <c r="S461" s="547"/>
      <c r="T461" s="547"/>
      <c r="U461" s="547"/>
      <c r="V461" s="547"/>
      <c r="W461" s="547"/>
      <c r="X461" s="547"/>
      <c r="Y461" s="547"/>
      <c r="Z461" s="547"/>
      <c r="AA461" s="547"/>
      <c r="AB461" s="547"/>
      <c r="AC461" s="547"/>
      <c r="AD461" s="547"/>
      <c r="AE461" s="547"/>
      <c r="AF461" s="547"/>
      <c r="AG461" s="547"/>
      <c r="AH461" s="547"/>
      <c r="AI461" s="547"/>
      <c r="AJ461" s="547"/>
      <c r="AK461" s="547"/>
      <c r="AL461" s="547"/>
      <c r="AM461" s="547"/>
      <c r="AN461" s="547"/>
      <c r="AO461" s="547"/>
      <c r="AP461" s="547"/>
      <c r="AQ461" s="547"/>
      <c r="AR461" s="547"/>
      <c r="AS461" s="547"/>
      <c r="AT461" s="547"/>
      <c r="AU461" s="547"/>
      <c r="AV461" s="547"/>
      <c r="AW461" s="547"/>
      <c r="AX461" s="547"/>
      <c r="AY461" s="547"/>
      <c r="AZ461" s="547"/>
      <c r="BA461" s="547"/>
      <c r="BB461" s="547"/>
      <c r="BC461" s="547"/>
      <c r="BD461" s="547"/>
      <c r="BE461" s="547"/>
      <c r="BF461" s="547"/>
      <c r="BG461" s="547"/>
      <c r="BH461" s="547"/>
      <c r="BI461" s="547"/>
      <c r="BJ461" s="547"/>
      <c r="BK461" s="547"/>
      <c r="BL461" s="547"/>
      <c r="BM461" s="547"/>
      <c r="BN461" s="547"/>
      <c r="BO461" s="547"/>
      <c r="BP461" s="547"/>
      <c r="BQ461" s="547"/>
      <c r="BR461" s="547"/>
      <c r="BS461" s="547"/>
      <c r="BT461" s="547"/>
      <c r="BU461" s="547"/>
      <c r="BV461" s="547"/>
      <c r="BW461" s="547"/>
      <c r="BX461" s="547"/>
      <c r="BY461" s="547"/>
      <c r="BZ461" s="547"/>
      <c r="CA461" s="547"/>
      <c r="CB461" s="547"/>
      <c r="CC461" s="547"/>
    </row>
    <row r="462" spans="1:81">
      <c r="A462" s="547"/>
      <c r="B462" s="547"/>
      <c r="C462" s="547"/>
      <c r="D462" s="547"/>
      <c r="E462" s="547"/>
      <c r="F462" s="547"/>
      <c r="G462" s="547"/>
      <c r="H462" s="547"/>
      <c r="I462" s="547"/>
      <c r="J462" s="547"/>
      <c r="K462" s="547"/>
      <c r="L462" s="547"/>
      <c r="M462" s="547"/>
      <c r="N462" s="547"/>
      <c r="O462" s="547"/>
      <c r="P462" s="547"/>
      <c r="Q462" s="547"/>
      <c r="R462" s="547"/>
      <c r="S462" s="547"/>
      <c r="T462" s="547"/>
      <c r="U462" s="547"/>
      <c r="V462" s="547"/>
      <c r="W462" s="547"/>
      <c r="X462" s="547"/>
      <c r="Y462" s="547"/>
      <c r="Z462" s="547"/>
      <c r="AA462" s="547"/>
      <c r="AB462" s="547"/>
      <c r="AC462" s="547"/>
      <c r="AD462" s="547"/>
      <c r="AE462" s="547"/>
      <c r="AF462" s="547"/>
      <c r="AG462" s="547"/>
      <c r="AH462" s="547"/>
      <c r="AI462" s="547"/>
      <c r="AJ462" s="547"/>
      <c r="AK462" s="547"/>
      <c r="AL462" s="547"/>
      <c r="AM462" s="547"/>
      <c r="AN462" s="547"/>
      <c r="AO462" s="547"/>
      <c r="AP462" s="547"/>
      <c r="AQ462" s="547"/>
      <c r="AR462" s="547"/>
      <c r="AS462" s="547"/>
      <c r="AT462" s="547"/>
      <c r="AU462" s="547"/>
      <c r="AV462" s="547"/>
      <c r="AW462" s="547"/>
      <c r="AX462" s="547"/>
      <c r="AY462" s="547"/>
      <c r="AZ462" s="547"/>
      <c r="BA462" s="547"/>
      <c r="BB462" s="547"/>
      <c r="BC462" s="547"/>
      <c r="BD462" s="547"/>
      <c r="BE462" s="547"/>
      <c r="BF462" s="547"/>
      <c r="BG462" s="547"/>
      <c r="BH462" s="547"/>
      <c r="BI462" s="547"/>
      <c r="BJ462" s="547"/>
      <c r="BK462" s="547"/>
      <c r="BL462" s="547"/>
      <c r="BM462" s="547"/>
      <c r="BN462" s="547"/>
      <c r="BO462" s="547"/>
      <c r="BP462" s="547"/>
      <c r="BQ462" s="547"/>
      <c r="BR462" s="547"/>
      <c r="BS462" s="547"/>
      <c r="BT462" s="547"/>
      <c r="BU462" s="547"/>
      <c r="BV462" s="547"/>
      <c r="BW462" s="547"/>
      <c r="BX462" s="547"/>
      <c r="BY462" s="547"/>
      <c r="BZ462" s="547"/>
      <c r="CA462" s="547"/>
      <c r="CB462" s="547"/>
      <c r="CC462" s="547"/>
    </row>
    <row r="463" spans="1:81">
      <c r="A463" s="547"/>
      <c r="B463" s="547"/>
      <c r="C463" s="547"/>
      <c r="D463" s="547"/>
      <c r="E463" s="547"/>
      <c r="F463" s="547"/>
      <c r="G463" s="547"/>
      <c r="H463" s="547"/>
      <c r="I463" s="547"/>
      <c r="J463" s="547"/>
      <c r="K463" s="547"/>
      <c r="L463" s="547"/>
      <c r="M463" s="547"/>
      <c r="N463" s="547"/>
      <c r="O463" s="547"/>
      <c r="P463" s="547"/>
      <c r="Q463" s="547"/>
      <c r="R463" s="547"/>
      <c r="S463" s="547"/>
      <c r="T463" s="547"/>
      <c r="U463" s="547"/>
      <c r="V463" s="547"/>
      <c r="W463" s="547"/>
      <c r="X463" s="547"/>
      <c r="Y463" s="547"/>
      <c r="Z463" s="547"/>
      <c r="AA463" s="547"/>
      <c r="AB463" s="547"/>
      <c r="AC463" s="547"/>
      <c r="AD463" s="547"/>
      <c r="AE463" s="547"/>
      <c r="AF463" s="547"/>
      <c r="AG463" s="547"/>
      <c r="AH463" s="547"/>
      <c r="AI463" s="547"/>
      <c r="AJ463" s="547"/>
      <c r="AK463" s="547"/>
      <c r="AL463" s="547"/>
      <c r="AM463" s="547"/>
      <c r="AN463" s="547"/>
      <c r="AO463" s="547"/>
      <c r="AP463" s="547"/>
      <c r="AQ463" s="547"/>
      <c r="AR463" s="547"/>
      <c r="AS463" s="547"/>
      <c r="AT463" s="547"/>
      <c r="AU463" s="547"/>
      <c r="AV463" s="547"/>
      <c r="AW463" s="547"/>
      <c r="AX463" s="547"/>
      <c r="AY463" s="547"/>
      <c r="AZ463" s="547"/>
      <c r="BA463" s="547"/>
      <c r="BB463" s="547"/>
      <c r="BC463" s="547"/>
      <c r="BD463" s="547"/>
      <c r="BE463" s="547"/>
      <c r="BF463" s="547"/>
      <c r="BG463" s="547"/>
      <c r="BH463" s="547"/>
      <c r="BI463" s="547"/>
      <c r="BJ463" s="547"/>
      <c r="BK463" s="547"/>
      <c r="BL463" s="547"/>
      <c r="BM463" s="547"/>
      <c r="BN463" s="547"/>
      <c r="BO463" s="547"/>
      <c r="BP463" s="547"/>
      <c r="BQ463" s="547"/>
      <c r="BR463" s="547"/>
      <c r="BS463" s="547"/>
      <c r="BT463" s="547"/>
      <c r="BU463" s="547"/>
      <c r="BV463" s="547"/>
      <c r="BW463" s="547"/>
      <c r="BX463" s="547"/>
      <c r="BY463" s="547"/>
      <c r="BZ463" s="547"/>
      <c r="CA463" s="547"/>
      <c r="CB463" s="547"/>
      <c r="CC463" s="547"/>
    </row>
    <row r="464" spans="1:81">
      <c r="A464" s="547"/>
      <c r="B464" s="547"/>
      <c r="C464" s="547"/>
      <c r="D464" s="547"/>
      <c r="E464" s="547"/>
      <c r="F464" s="547"/>
      <c r="G464" s="547"/>
      <c r="H464" s="547"/>
      <c r="I464" s="547"/>
      <c r="J464" s="547"/>
      <c r="K464" s="547"/>
      <c r="L464" s="547"/>
      <c r="M464" s="547"/>
      <c r="N464" s="547"/>
      <c r="O464" s="547"/>
      <c r="P464" s="547"/>
      <c r="Q464" s="547"/>
      <c r="R464" s="547"/>
      <c r="S464" s="547"/>
      <c r="T464" s="547"/>
      <c r="U464" s="547"/>
      <c r="V464" s="547"/>
      <c r="W464" s="547"/>
      <c r="X464" s="547"/>
      <c r="Y464" s="547"/>
      <c r="Z464" s="547"/>
      <c r="AA464" s="547"/>
      <c r="AB464" s="547"/>
      <c r="AC464" s="547"/>
      <c r="AD464" s="547"/>
      <c r="AE464" s="547"/>
      <c r="AF464" s="547"/>
      <c r="AG464" s="547"/>
      <c r="AH464" s="547"/>
      <c r="AI464" s="547"/>
      <c r="AJ464" s="547"/>
      <c r="AK464" s="547"/>
      <c r="AL464" s="547"/>
      <c r="AM464" s="547"/>
      <c r="AN464" s="547"/>
      <c r="AO464" s="547"/>
      <c r="AP464" s="547"/>
      <c r="AQ464" s="547"/>
      <c r="AR464" s="547"/>
      <c r="AS464" s="547"/>
      <c r="AT464" s="547"/>
      <c r="AU464" s="547"/>
      <c r="AV464" s="547"/>
      <c r="AW464" s="547"/>
      <c r="AX464" s="547"/>
      <c r="AY464" s="547"/>
      <c r="AZ464" s="547"/>
      <c r="BA464" s="547"/>
      <c r="BB464" s="547"/>
      <c r="BC464" s="547"/>
      <c r="BD464" s="547"/>
      <c r="BE464" s="547"/>
      <c r="BF464" s="547"/>
      <c r="BG464" s="547"/>
      <c r="BH464" s="547"/>
      <c r="BI464" s="547"/>
      <c r="BJ464" s="547"/>
      <c r="BK464" s="547"/>
      <c r="BL464" s="547"/>
      <c r="BM464" s="547"/>
      <c r="BN464" s="547"/>
      <c r="BO464" s="547"/>
      <c r="BP464" s="547"/>
      <c r="BQ464" s="547"/>
      <c r="BR464" s="547"/>
      <c r="BS464" s="547"/>
      <c r="BT464" s="547"/>
      <c r="BU464" s="547"/>
      <c r="BV464" s="547"/>
      <c r="BW464" s="547"/>
      <c r="BX464" s="547"/>
      <c r="BY464" s="547"/>
      <c r="BZ464" s="547"/>
      <c r="CA464" s="547"/>
      <c r="CB464" s="547"/>
      <c r="CC464" s="547"/>
    </row>
    <row r="465" spans="1:81">
      <c r="A465" s="547"/>
      <c r="B465" s="547"/>
      <c r="C465" s="547"/>
      <c r="D465" s="547"/>
      <c r="E465" s="547"/>
      <c r="F465" s="547"/>
      <c r="G465" s="547"/>
      <c r="H465" s="547"/>
      <c r="I465" s="547"/>
      <c r="J465" s="547"/>
      <c r="K465" s="547"/>
      <c r="L465" s="547"/>
      <c r="M465" s="547"/>
      <c r="N465" s="547"/>
      <c r="O465" s="547"/>
      <c r="P465" s="547"/>
      <c r="Q465" s="547"/>
      <c r="R465" s="547"/>
      <c r="S465" s="547"/>
      <c r="T465" s="547"/>
      <c r="U465" s="547"/>
      <c r="V465" s="547"/>
      <c r="W465" s="547"/>
      <c r="X465" s="547"/>
      <c r="Y465" s="547"/>
      <c r="Z465" s="547"/>
      <c r="AA465" s="547"/>
      <c r="AB465" s="547"/>
      <c r="AC465" s="547"/>
      <c r="AD465" s="547"/>
      <c r="AE465" s="547"/>
      <c r="AF465" s="547"/>
      <c r="AG465" s="547"/>
      <c r="AH465" s="547"/>
      <c r="AI465" s="547"/>
      <c r="AJ465" s="547"/>
      <c r="AK465" s="547"/>
      <c r="AL465" s="547"/>
      <c r="AM465" s="547"/>
      <c r="AN465" s="547"/>
      <c r="AO465" s="547"/>
      <c r="AP465" s="547"/>
      <c r="AQ465" s="547"/>
      <c r="AR465" s="547"/>
      <c r="AS465" s="547"/>
      <c r="AT465" s="547"/>
      <c r="AU465" s="547"/>
      <c r="AV465" s="547"/>
      <c r="AW465" s="547"/>
      <c r="AX465" s="547"/>
      <c r="AY465" s="547"/>
      <c r="AZ465" s="547"/>
      <c r="BA465" s="547"/>
      <c r="BB465" s="547"/>
      <c r="BC465" s="547"/>
      <c r="BD465" s="547"/>
      <c r="BE465" s="547"/>
      <c r="BF465" s="547"/>
      <c r="BG465" s="547"/>
      <c r="BH465" s="547"/>
      <c r="BI465" s="547"/>
      <c r="BJ465" s="547"/>
      <c r="BK465" s="547"/>
      <c r="BL465" s="547"/>
      <c r="BM465" s="547"/>
      <c r="BN465" s="547"/>
      <c r="BO465" s="547"/>
      <c r="BP465" s="547"/>
      <c r="BQ465" s="547"/>
      <c r="BR465" s="547"/>
      <c r="BS465" s="547"/>
      <c r="BT465" s="547"/>
      <c r="BU465" s="547"/>
      <c r="BV465" s="547"/>
      <c r="BW465" s="547"/>
      <c r="BX465" s="547"/>
      <c r="BY465" s="547"/>
      <c r="BZ465" s="547"/>
      <c r="CA465" s="547"/>
      <c r="CB465" s="547"/>
      <c r="CC465" s="547"/>
    </row>
    <row r="466" spans="1:81">
      <c r="A466" s="547"/>
      <c r="B466" s="547"/>
      <c r="C466" s="547"/>
      <c r="D466" s="547"/>
      <c r="E466" s="547"/>
      <c r="F466" s="547"/>
      <c r="G466" s="547"/>
      <c r="H466" s="547"/>
      <c r="I466" s="547"/>
      <c r="J466" s="547"/>
      <c r="K466" s="547"/>
      <c r="L466" s="547"/>
      <c r="M466" s="547"/>
      <c r="N466" s="547"/>
      <c r="O466" s="547"/>
      <c r="P466" s="547"/>
      <c r="Q466" s="547"/>
      <c r="R466" s="547"/>
      <c r="S466" s="547"/>
      <c r="T466" s="547"/>
      <c r="U466" s="547"/>
      <c r="V466" s="547"/>
      <c r="W466" s="547"/>
      <c r="X466" s="547"/>
      <c r="Y466" s="547"/>
      <c r="Z466" s="547"/>
      <c r="AA466" s="547"/>
      <c r="AB466" s="547"/>
      <c r="AC466" s="547"/>
      <c r="AD466" s="547"/>
      <c r="AE466" s="547"/>
      <c r="AF466" s="547"/>
      <c r="AG466" s="547"/>
      <c r="AH466" s="547"/>
      <c r="AI466" s="547"/>
      <c r="AJ466" s="547"/>
      <c r="AK466" s="547"/>
      <c r="AL466" s="547"/>
      <c r="AM466" s="547"/>
      <c r="AN466" s="547"/>
      <c r="AO466" s="547"/>
      <c r="AP466" s="547"/>
      <c r="AQ466" s="547"/>
      <c r="AR466" s="547"/>
      <c r="AS466" s="547"/>
      <c r="AT466" s="547"/>
      <c r="AU466" s="547"/>
      <c r="AV466" s="547"/>
      <c r="AW466" s="547"/>
      <c r="AX466" s="547"/>
      <c r="AY466" s="547"/>
      <c r="AZ466" s="547"/>
      <c r="BA466" s="547"/>
      <c r="BB466" s="547"/>
      <c r="BC466" s="547"/>
      <c r="BD466" s="547"/>
      <c r="BE466" s="547"/>
      <c r="BF466" s="547"/>
      <c r="BG466" s="547"/>
      <c r="BH466" s="547"/>
      <c r="BI466" s="547"/>
      <c r="BJ466" s="547"/>
      <c r="BK466" s="547"/>
      <c r="BL466" s="547"/>
      <c r="BM466" s="547"/>
      <c r="BN466" s="547"/>
      <c r="BO466" s="547"/>
      <c r="BP466" s="547"/>
      <c r="BQ466" s="547"/>
      <c r="BR466" s="547"/>
      <c r="BS466" s="547"/>
      <c r="BT466" s="547"/>
      <c r="BU466" s="547"/>
      <c r="BV466" s="547"/>
      <c r="BW466" s="547"/>
      <c r="BX466" s="547"/>
      <c r="BY466" s="547"/>
      <c r="BZ466" s="547"/>
      <c r="CA466" s="547"/>
      <c r="CB466" s="547"/>
      <c r="CC466" s="547"/>
    </row>
    <row r="467" spans="1:81">
      <c r="A467" s="547"/>
      <c r="B467" s="547"/>
      <c r="C467" s="547"/>
      <c r="D467" s="547"/>
      <c r="E467" s="547"/>
      <c r="F467" s="547"/>
      <c r="G467" s="547"/>
      <c r="H467" s="547"/>
      <c r="I467" s="547"/>
      <c r="J467" s="547"/>
      <c r="K467" s="547"/>
      <c r="L467" s="547"/>
      <c r="M467" s="547"/>
      <c r="N467" s="547"/>
      <c r="O467" s="547"/>
      <c r="P467" s="547"/>
      <c r="Q467" s="547"/>
      <c r="R467" s="547"/>
      <c r="S467" s="547"/>
      <c r="T467" s="547"/>
      <c r="U467" s="547"/>
      <c r="V467" s="547"/>
      <c r="W467" s="547"/>
      <c r="X467" s="547"/>
      <c r="Y467" s="547"/>
      <c r="Z467" s="547"/>
      <c r="AA467" s="547"/>
      <c r="AB467" s="547"/>
      <c r="AC467" s="547"/>
      <c r="AD467" s="547"/>
      <c r="AE467" s="547"/>
      <c r="AF467" s="547"/>
      <c r="AG467" s="547"/>
      <c r="AH467" s="547"/>
      <c r="AI467" s="547"/>
      <c r="AJ467" s="547"/>
      <c r="AK467" s="547"/>
      <c r="AL467" s="547"/>
      <c r="AM467" s="547"/>
      <c r="AN467" s="547"/>
      <c r="AO467" s="547"/>
      <c r="AP467" s="547"/>
      <c r="AQ467" s="547"/>
      <c r="AR467" s="547"/>
      <c r="AS467" s="547"/>
      <c r="AT467" s="547"/>
      <c r="AU467" s="547"/>
      <c r="AV467" s="547"/>
      <c r="AW467" s="547"/>
      <c r="AX467" s="547"/>
      <c r="AY467" s="547"/>
      <c r="AZ467" s="547"/>
      <c r="BA467" s="547"/>
      <c r="BB467" s="547"/>
      <c r="BC467" s="547"/>
      <c r="BD467" s="547"/>
      <c r="BE467" s="547"/>
      <c r="BF467" s="547"/>
      <c r="BG467" s="547"/>
      <c r="BH467" s="547"/>
      <c r="BI467" s="547"/>
      <c r="BJ467" s="547"/>
      <c r="BK467" s="547"/>
      <c r="BL467" s="547"/>
      <c r="BM467" s="547"/>
      <c r="BN467" s="547"/>
      <c r="BO467" s="547"/>
      <c r="BP467" s="547"/>
      <c r="BQ467" s="547"/>
      <c r="BR467" s="547"/>
      <c r="BS467" s="547"/>
      <c r="BT467" s="547"/>
      <c r="BU467" s="547"/>
      <c r="BV467" s="547"/>
      <c r="BW467" s="547"/>
      <c r="BX467" s="547"/>
      <c r="BY467" s="547"/>
      <c r="BZ467" s="547"/>
      <c r="CA467" s="547"/>
      <c r="CB467" s="547"/>
      <c r="CC467" s="547"/>
    </row>
    <row r="468" spans="1:81">
      <c r="A468" s="547"/>
      <c r="B468" s="547"/>
      <c r="C468" s="547"/>
      <c r="D468" s="547"/>
      <c r="E468" s="547"/>
      <c r="F468" s="547"/>
      <c r="G468" s="547"/>
      <c r="H468" s="547"/>
      <c r="I468" s="547"/>
      <c r="J468" s="547"/>
      <c r="K468" s="547"/>
      <c r="L468" s="547"/>
      <c r="M468" s="547"/>
      <c r="N468" s="547"/>
      <c r="O468" s="547"/>
      <c r="P468" s="547"/>
      <c r="Q468" s="547"/>
      <c r="R468" s="547"/>
      <c r="S468" s="547"/>
      <c r="T468" s="547"/>
      <c r="U468" s="547"/>
      <c r="V468" s="547"/>
      <c r="W468" s="547"/>
      <c r="X468" s="547"/>
      <c r="Y468" s="547"/>
      <c r="Z468" s="547"/>
      <c r="AA468" s="547"/>
      <c r="AB468" s="547"/>
      <c r="AC468" s="547"/>
      <c r="AD468" s="547"/>
      <c r="AE468" s="547"/>
      <c r="AF468" s="547"/>
      <c r="AG468" s="547"/>
      <c r="AH468" s="547"/>
      <c r="AI468" s="547"/>
      <c r="AJ468" s="547"/>
      <c r="AK468" s="547"/>
      <c r="AL468" s="547"/>
      <c r="AM468" s="547"/>
      <c r="AN468" s="547"/>
      <c r="AO468" s="547"/>
      <c r="AP468" s="547"/>
      <c r="AQ468" s="547"/>
      <c r="AR468" s="547"/>
      <c r="AS468" s="547"/>
      <c r="AT468" s="547"/>
      <c r="AU468" s="547"/>
      <c r="AV468" s="547"/>
      <c r="AW468" s="547"/>
      <c r="AX468" s="547"/>
      <c r="AY468" s="547"/>
      <c r="AZ468" s="547"/>
      <c r="BA468" s="547"/>
      <c r="BB468" s="547"/>
      <c r="BC468" s="547"/>
      <c r="BD468" s="547"/>
      <c r="BE468" s="547"/>
      <c r="BF468" s="547"/>
      <c r="BG468" s="547"/>
      <c r="BH468" s="547"/>
      <c r="BI468" s="547"/>
      <c r="BJ468" s="547"/>
      <c r="BK468" s="547"/>
      <c r="BL468" s="547"/>
      <c r="BM468" s="547"/>
      <c r="BN468" s="547"/>
      <c r="BO468" s="547"/>
      <c r="BP468" s="547"/>
      <c r="BQ468" s="547"/>
      <c r="BR468" s="547"/>
      <c r="BS468" s="547"/>
      <c r="BT468" s="547"/>
      <c r="BU468" s="547"/>
      <c r="BV468" s="547"/>
      <c r="BW468" s="547"/>
      <c r="BX468" s="547"/>
      <c r="BY468" s="547"/>
      <c r="BZ468" s="547"/>
      <c r="CA468" s="547"/>
      <c r="CB468" s="547"/>
      <c r="CC468" s="547"/>
    </row>
    <row r="469" spans="1:81">
      <c r="A469" s="547"/>
      <c r="B469" s="547"/>
      <c r="C469" s="547"/>
      <c r="D469" s="547"/>
      <c r="E469" s="547"/>
      <c r="F469" s="547"/>
      <c r="G469" s="547"/>
      <c r="H469" s="547"/>
      <c r="I469" s="547"/>
      <c r="J469" s="547"/>
      <c r="K469" s="547"/>
      <c r="L469" s="547"/>
      <c r="M469" s="547"/>
      <c r="N469" s="547"/>
      <c r="O469" s="547"/>
      <c r="P469" s="547"/>
      <c r="Q469" s="547"/>
      <c r="R469" s="547"/>
      <c r="S469" s="547"/>
      <c r="T469" s="547"/>
      <c r="U469" s="547"/>
      <c r="V469" s="547"/>
      <c r="W469" s="547"/>
      <c r="X469" s="547"/>
      <c r="Y469" s="547"/>
      <c r="Z469" s="547"/>
      <c r="AA469" s="547"/>
      <c r="AB469" s="547"/>
      <c r="AC469" s="547"/>
      <c r="AD469" s="547"/>
      <c r="AE469" s="547"/>
      <c r="AF469" s="547"/>
      <c r="AG469" s="547"/>
      <c r="AH469" s="547"/>
      <c r="AI469" s="547"/>
      <c r="AJ469" s="547"/>
      <c r="AK469" s="547"/>
      <c r="AL469" s="547"/>
      <c r="AM469" s="547"/>
      <c r="AN469" s="547"/>
      <c r="AO469" s="547"/>
      <c r="AP469" s="547"/>
      <c r="AQ469" s="547"/>
      <c r="AR469" s="547"/>
      <c r="AS469" s="547"/>
      <c r="AT469" s="547"/>
      <c r="AU469" s="547"/>
      <c r="AV469" s="547"/>
      <c r="AW469" s="547"/>
      <c r="AX469" s="547"/>
      <c r="AY469" s="547"/>
      <c r="AZ469" s="547"/>
      <c r="BA469" s="547"/>
      <c r="BB469" s="547"/>
      <c r="BC469" s="547"/>
      <c r="BD469" s="547"/>
      <c r="BE469" s="547"/>
      <c r="BF469" s="547"/>
      <c r="BG469" s="547"/>
      <c r="BH469" s="547"/>
      <c r="BI469" s="547"/>
      <c r="BJ469" s="547"/>
      <c r="BK469" s="547"/>
      <c r="BL469" s="547"/>
      <c r="BM469" s="547"/>
      <c r="BN469" s="547"/>
      <c r="BO469" s="547"/>
      <c r="BP469" s="547"/>
      <c r="BQ469" s="547"/>
      <c r="BR469" s="547"/>
      <c r="BS469" s="547"/>
      <c r="BT469" s="547"/>
      <c r="BU469" s="547"/>
      <c r="BV469" s="547"/>
      <c r="BW469" s="547"/>
      <c r="BX469" s="547"/>
      <c r="BY469" s="547"/>
      <c r="BZ469" s="547"/>
      <c r="CA469" s="547"/>
      <c r="CB469" s="547"/>
      <c r="CC469" s="547"/>
    </row>
    <row r="470" spans="1:81">
      <c r="A470" s="547"/>
      <c r="B470" s="547"/>
      <c r="C470" s="547"/>
      <c r="D470" s="547"/>
      <c r="E470" s="547"/>
      <c r="F470" s="547"/>
      <c r="G470" s="547"/>
      <c r="H470" s="547"/>
      <c r="I470" s="547"/>
      <c r="J470" s="547"/>
      <c r="K470" s="547"/>
      <c r="L470" s="547"/>
      <c r="M470" s="547"/>
      <c r="N470" s="547"/>
      <c r="O470" s="547"/>
      <c r="P470" s="547"/>
      <c r="Q470" s="547"/>
      <c r="R470" s="547"/>
      <c r="S470" s="547"/>
      <c r="T470" s="547"/>
      <c r="U470" s="547"/>
      <c r="V470" s="547"/>
      <c r="W470" s="547"/>
      <c r="X470" s="547"/>
      <c r="Y470" s="547"/>
      <c r="Z470" s="547"/>
      <c r="AA470" s="547"/>
      <c r="AB470" s="547"/>
      <c r="AC470" s="547"/>
      <c r="AD470" s="547"/>
      <c r="AE470" s="547"/>
      <c r="AF470" s="547"/>
      <c r="AG470" s="547"/>
      <c r="AH470" s="547"/>
      <c r="AI470" s="547"/>
      <c r="AJ470" s="547"/>
      <c r="AK470" s="547"/>
      <c r="AL470" s="547"/>
      <c r="AM470" s="547"/>
      <c r="AN470" s="547"/>
      <c r="AO470" s="547"/>
      <c r="AP470" s="547"/>
      <c r="AQ470" s="547"/>
      <c r="AR470" s="547"/>
      <c r="AS470" s="547"/>
      <c r="AT470" s="547"/>
      <c r="AU470" s="547"/>
      <c r="AV470" s="547"/>
      <c r="AW470" s="547"/>
      <c r="AX470" s="547"/>
      <c r="AY470" s="547"/>
      <c r="AZ470" s="547"/>
      <c r="BA470" s="547"/>
      <c r="BB470" s="547"/>
      <c r="BC470" s="547"/>
      <c r="BD470" s="547"/>
      <c r="BE470" s="547"/>
      <c r="BF470" s="547"/>
      <c r="BG470" s="547"/>
      <c r="BH470" s="547"/>
      <c r="BI470" s="547"/>
      <c r="BJ470" s="547"/>
      <c r="BK470" s="547"/>
      <c r="BL470" s="547"/>
      <c r="BM470" s="547"/>
      <c r="BN470" s="547"/>
      <c r="BO470" s="547"/>
      <c r="BP470" s="547"/>
      <c r="BQ470" s="547"/>
      <c r="BR470" s="547"/>
      <c r="BS470" s="547"/>
      <c r="BT470" s="547"/>
      <c r="BU470" s="547"/>
      <c r="BV470" s="547"/>
      <c r="BW470" s="547"/>
      <c r="BX470" s="547"/>
      <c r="BY470" s="547"/>
      <c r="BZ470" s="547"/>
      <c r="CA470" s="547"/>
      <c r="CB470" s="547"/>
      <c r="CC470" s="547"/>
    </row>
    <row r="471" spans="1:81">
      <c r="A471" s="547"/>
      <c r="B471" s="547"/>
      <c r="C471" s="547"/>
      <c r="D471" s="547"/>
      <c r="E471" s="547"/>
      <c r="F471" s="547"/>
      <c r="G471" s="547"/>
      <c r="H471" s="547"/>
      <c r="I471" s="547"/>
      <c r="J471" s="547"/>
      <c r="K471" s="547"/>
      <c r="L471" s="547"/>
      <c r="M471" s="547"/>
      <c r="N471" s="547"/>
      <c r="O471" s="547"/>
      <c r="P471" s="547"/>
      <c r="Q471" s="547"/>
      <c r="R471" s="547"/>
      <c r="S471" s="547"/>
      <c r="T471" s="547"/>
      <c r="U471" s="547"/>
      <c r="V471" s="547"/>
      <c r="W471" s="547"/>
      <c r="X471" s="547"/>
      <c r="Y471" s="547"/>
      <c r="Z471" s="547"/>
      <c r="AA471" s="547"/>
      <c r="AB471" s="547"/>
      <c r="AC471" s="547"/>
      <c r="AD471" s="547"/>
      <c r="AE471" s="547"/>
      <c r="AF471" s="547"/>
      <c r="AG471" s="547"/>
      <c r="AH471" s="547"/>
      <c r="AI471" s="547"/>
      <c r="AJ471" s="547"/>
      <c r="AK471" s="547"/>
      <c r="AL471" s="547"/>
      <c r="AM471" s="547"/>
      <c r="AN471" s="547"/>
      <c r="AO471" s="547"/>
      <c r="AP471" s="547"/>
      <c r="AQ471" s="547"/>
      <c r="AR471" s="547"/>
      <c r="AS471" s="547"/>
      <c r="AT471" s="547"/>
      <c r="AU471" s="547"/>
      <c r="AV471" s="547"/>
      <c r="AW471" s="547"/>
      <c r="AX471" s="547"/>
      <c r="AY471" s="547"/>
      <c r="AZ471" s="547"/>
      <c r="BA471" s="547"/>
      <c r="BB471" s="547"/>
      <c r="BC471" s="547"/>
      <c r="BD471" s="547"/>
      <c r="BE471" s="547"/>
      <c r="BF471" s="547"/>
      <c r="BG471" s="547"/>
      <c r="BH471" s="547"/>
      <c r="BI471" s="547"/>
      <c r="BJ471" s="547"/>
      <c r="BK471" s="547"/>
      <c r="BL471" s="547"/>
      <c r="BM471" s="547"/>
      <c r="BN471" s="547"/>
      <c r="BO471" s="547"/>
      <c r="BP471" s="547"/>
      <c r="BQ471" s="547"/>
      <c r="BR471" s="547"/>
      <c r="BS471" s="547"/>
      <c r="BT471" s="547"/>
      <c r="BU471" s="547"/>
      <c r="BV471" s="547"/>
      <c r="BW471" s="547"/>
      <c r="BX471" s="547"/>
      <c r="BY471" s="547"/>
      <c r="BZ471" s="547"/>
      <c r="CA471" s="547"/>
      <c r="CB471" s="547"/>
      <c r="CC471" s="547"/>
    </row>
    <row r="472" spans="1:81">
      <c r="A472" s="547"/>
      <c r="B472" s="547"/>
      <c r="C472" s="547"/>
      <c r="D472" s="547"/>
      <c r="E472" s="547"/>
      <c r="F472" s="547"/>
      <c r="G472" s="547"/>
      <c r="H472" s="547"/>
      <c r="I472" s="547"/>
      <c r="J472" s="547"/>
      <c r="K472" s="547"/>
      <c r="L472" s="547"/>
      <c r="M472" s="547"/>
      <c r="N472" s="547"/>
      <c r="O472" s="547"/>
      <c r="P472" s="547"/>
      <c r="Q472" s="547"/>
      <c r="R472" s="547"/>
      <c r="S472" s="547"/>
      <c r="T472" s="547"/>
      <c r="U472" s="547"/>
      <c r="V472" s="547"/>
      <c r="W472" s="547"/>
      <c r="X472" s="547"/>
      <c r="Y472" s="547"/>
      <c r="Z472" s="547"/>
      <c r="AA472" s="547"/>
      <c r="AB472" s="547"/>
      <c r="AC472" s="547"/>
      <c r="AD472" s="547"/>
      <c r="AE472" s="547"/>
      <c r="AF472" s="547"/>
      <c r="AG472" s="547"/>
      <c r="AH472" s="547"/>
      <c r="AI472" s="547"/>
      <c r="AJ472" s="547"/>
      <c r="AK472" s="547"/>
      <c r="AL472" s="547"/>
      <c r="AM472" s="547"/>
      <c r="AN472" s="547"/>
      <c r="AO472" s="547"/>
      <c r="AP472" s="547"/>
      <c r="AQ472" s="547"/>
      <c r="AR472" s="547"/>
      <c r="AS472" s="547"/>
      <c r="AT472" s="547"/>
      <c r="AU472" s="547"/>
      <c r="AV472" s="547"/>
      <c r="AW472" s="547"/>
      <c r="AX472" s="547"/>
      <c r="AY472" s="547"/>
      <c r="AZ472" s="547"/>
      <c r="BA472" s="547"/>
      <c r="BB472" s="547"/>
      <c r="BC472" s="547"/>
      <c r="BD472" s="547"/>
      <c r="BE472" s="547"/>
      <c r="BF472" s="547"/>
      <c r="BG472" s="547"/>
      <c r="BH472" s="547"/>
      <c r="BI472" s="547"/>
      <c r="BJ472" s="547"/>
      <c r="BK472" s="547"/>
      <c r="BL472" s="547"/>
      <c r="BM472" s="547"/>
      <c r="BN472" s="547"/>
      <c r="BO472" s="547"/>
      <c r="BP472" s="547"/>
      <c r="BQ472" s="547"/>
      <c r="BR472" s="547"/>
      <c r="BS472" s="547"/>
      <c r="BT472" s="547"/>
      <c r="BU472" s="547"/>
      <c r="BV472" s="547"/>
      <c r="BW472" s="547"/>
      <c r="BX472" s="547"/>
      <c r="BY472" s="547"/>
      <c r="BZ472" s="547"/>
      <c r="CA472" s="547"/>
      <c r="CB472" s="547"/>
      <c r="CC472" s="547"/>
    </row>
    <row r="473" spans="1:81">
      <c r="A473" s="547"/>
      <c r="B473" s="547"/>
      <c r="C473" s="547"/>
      <c r="D473" s="547"/>
      <c r="E473" s="547"/>
      <c r="F473" s="547"/>
      <c r="G473" s="547"/>
      <c r="H473" s="547"/>
      <c r="I473" s="547"/>
      <c r="J473" s="547"/>
      <c r="K473" s="547"/>
      <c r="L473" s="547"/>
      <c r="M473" s="547"/>
      <c r="N473" s="547"/>
      <c r="O473" s="547"/>
      <c r="P473" s="547"/>
      <c r="Q473" s="547"/>
      <c r="R473" s="547"/>
      <c r="S473" s="547"/>
      <c r="T473" s="547"/>
      <c r="U473" s="547"/>
      <c r="V473" s="547"/>
      <c r="W473" s="547"/>
      <c r="X473" s="547"/>
      <c r="Y473" s="547"/>
      <c r="Z473" s="547"/>
      <c r="AA473" s="547"/>
      <c r="AB473" s="547"/>
      <c r="AC473" s="547"/>
      <c r="AD473" s="547"/>
      <c r="AE473" s="547"/>
      <c r="AF473" s="547"/>
      <c r="AG473" s="547"/>
      <c r="AH473" s="547"/>
      <c r="AI473" s="547"/>
      <c r="AJ473" s="547"/>
      <c r="AK473" s="547"/>
      <c r="AL473" s="547"/>
      <c r="AM473" s="547"/>
      <c r="AN473" s="547"/>
      <c r="AO473" s="547"/>
      <c r="AP473" s="547"/>
      <c r="AQ473" s="547"/>
      <c r="AR473" s="547"/>
      <c r="AS473" s="547"/>
      <c r="AT473" s="547"/>
      <c r="AU473" s="547"/>
      <c r="AV473" s="547"/>
      <c r="AW473" s="547"/>
      <c r="AX473" s="547"/>
      <c r="AY473" s="547"/>
      <c r="AZ473" s="547"/>
      <c r="BA473" s="547"/>
      <c r="BB473" s="547"/>
      <c r="BC473" s="547"/>
      <c r="BD473" s="547"/>
      <c r="BE473" s="547"/>
      <c r="BF473" s="547"/>
      <c r="BG473" s="547"/>
      <c r="BH473" s="547"/>
      <c r="BI473" s="547"/>
      <c r="BJ473" s="547"/>
      <c r="BK473" s="547"/>
      <c r="BL473" s="547"/>
      <c r="BM473" s="547"/>
      <c r="BN473" s="547"/>
      <c r="BO473" s="547"/>
      <c r="BP473" s="547"/>
      <c r="BQ473" s="547"/>
      <c r="BR473" s="547"/>
      <c r="BS473" s="547"/>
      <c r="BT473" s="547"/>
      <c r="BU473" s="547"/>
      <c r="BV473" s="547"/>
      <c r="BW473" s="547"/>
      <c r="BX473" s="547"/>
      <c r="BY473" s="547"/>
      <c r="BZ473" s="547"/>
      <c r="CA473" s="547"/>
      <c r="CB473" s="547"/>
      <c r="CC473" s="547"/>
    </row>
    <row r="474" spans="1:81">
      <c r="A474" s="547"/>
      <c r="B474" s="547"/>
      <c r="C474" s="547"/>
      <c r="D474" s="547"/>
      <c r="E474" s="547"/>
      <c r="F474" s="547"/>
      <c r="G474" s="547"/>
      <c r="H474" s="547"/>
      <c r="I474" s="547"/>
      <c r="J474" s="547"/>
      <c r="K474" s="547"/>
      <c r="L474" s="547"/>
      <c r="M474" s="547"/>
      <c r="N474" s="547"/>
      <c r="O474" s="547"/>
      <c r="P474" s="547"/>
      <c r="Q474" s="547"/>
      <c r="R474" s="547"/>
      <c r="S474" s="547"/>
      <c r="T474" s="547"/>
      <c r="U474" s="547"/>
      <c r="V474" s="547"/>
      <c r="W474" s="547"/>
      <c r="X474" s="547"/>
      <c r="Y474" s="547"/>
      <c r="Z474" s="547"/>
      <c r="AA474" s="547"/>
      <c r="AB474" s="547"/>
      <c r="AC474" s="547"/>
      <c r="AD474" s="547"/>
      <c r="AE474" s="547"/>
      <c r="AF474" s="547"/>
      <c r="AG474" s="547"/>
      <c r="AH474" s="547"/>
      <c r="AI474" s="547"/>
      <c r="AJ474" s="547"/>
      <c r="AK474" s="547"/>
      <c r="AL474" s="547"/>
      <c r="AM474" s="547"/>
      <c r="AN474" s="547"/>
      <c r="AO474" s="547"/>
      <c r="AP474" s="547"/>
      <c r="AQ474" s="547"/>
      <c r="AR474" s="547"/>
      <c r="AS474" s="547"/>
      <c r="AT474" s="547"/>
      <c r="AU474" s="547"/>
      <c r="AV474" s="547"/>
      <c r="AW474" s="547"/>
      <c r="AX474" s="547"/>
      <c r="AY474" s="547"/>
      <c r="AZ474" s="547"/>
      <c r="BA474" s="547"/>
      <c r="BB474" s="547"/>
      <c r="BC474" s="547"/>
      <c r="BD474" s="547"/>
      <c r="BE474" s="547"/>
      <c r="BF474" s="547"/>
      <c r="BG474" s="547"/>
      <c r="BH474" s="547"/>
      <c r="BI474" s="547"/>
      <c r="BJ474" s="547"/>
      <c r="BK474" s="547"/>
      <c r="BL474" s="547"/>
      <c r="BM474" s="547"/>
      <c r="BN474" s="547"/>
      <c r="BO474" s="547"/>
      <c r="BP474" s="547"/>
      <c r="BQ474" s="547"/>
      <c r="BR474" s="547"/>
      <c r="BS474" s="547"/>
      <c r="BT474" s="547"/>
      <c r="BU474" s="547"/>
      <c r="BV474" s="547"/>
      <c r="BW474" s="547"/>
      <c r="BX474" s="547"/>
      <c r="BY474" s="547"/>
      <c r="BZ474" s="547"/>
      <c r="CA474" s="547"/>
      <c r="CB474" s="547"/>
      <c r="CC474" s="547"/>
    </row>
    <row r="475" spans="1:81">
      <c r="A475" s="547"/>
      <c r="B475" s="547"/>
      <c r="C475" s="547"/>
      <c r="D475" s="547"/>
      <c r="E475" s="547"/>
      <c r="F475" s="547"/>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547"/>
      <c r="AF475" s="547"/>
      <c r="AG475" s="547"/>
      <c r="AH475" s="547"/>
      <c r="AI475" s="547"/>
      <c r="AJ475" s="547"/>
      <c r="AK475" s="547"/>
      <c r="AL475" s="547"/>
      <c r="AM475" s="547"/>
      <c r="AN475" s="547"/>
      <c r="AO475" s="547"/>
      <c r="AP475" s="547"/>
      <c r="AQ475" s="547"/>
      <c r="AR475" s="547"/>
      <c r="AS475" s="547"/>
      <c r="AT475" s="547"/>
      <c r="AU475" s="547"/>
      <c r="AV475" s="547"/>
      <c r="AW475" s="547"/>
      <c r="AX475" s="547"/>
      <c r="AY475" s="547"/>
      <c r="AZ475" s="547"/>
      <c r="BA475" s="547"/>
      <c r="BB475" s="547"/>
      <c r="BC475" s="547"/>
      <c r="BD475" s="547"/>
      <c r="BE475" s="547"/>
      <c r="BF475" s="547"/>
      <c r="BG475" s="547"/>
      <c r="BH475" s="547"/>
      <c r="BI475" s="547"/>
      <c r="BJ475" s="547"/>
      <c r="BK475" s="547"/>
      <c r="BL475" s="547"/>
      <c r="BM475" s="547"/>
      <c r="BN475" s="547"/>
      <c r="BO475" s="547"/>
      <c r="BP475" s="547"/>
      <c r="BQ475" s="547"/>
      <c r="BR475" s="547"/>
      <c r="BS475" s="547"/>
      <c r="BT475" s="547"/>
      <c r="BU475" s="547"/>
      <c r="BV475" s="547"/>
      <c r="BW475" s="547"/>
      <c r="BX475" s="547"/>
      <c r="BY475" s="547"/>
      <c r="BZ475" s="547"/>
      <c r="CA475" s="547"/>
      <c r="CB475" s="547"/>
      <c r="CC475" s="547"/>
    </row>
    <row r="476" spans="1:81">
      <c r="A476" s="547"/>
      <c r="B476" s="547"/>
      <c r="C476" s="547"/>
      <c r="D476" s="547"/>
      <c r="E476" s="547"/>
      <c r="F476" s="547"/>
      <c r="G476" s="547"/>
      <c r="H476" s="547"/>
      <c r="I476" s="547"/>
      <c r="J476" s="547"/>
      <c r="K476" s="547"/>
      <c r="L476" s="547"/>
      <c r="M476" s="547"/>
      <c r="N476" s="547"/>
      <c r="O476" s="547"/>
      <c r="P476" s="547"/>
      <c r="Q476" s="547"/>
      <c r="R476" s="547"/>
      <c r="S476" s="547"/>
      <c r="T476" s="547"/>
      <c r="U476" s="547"/>
      <c r="V476" s="547"/>
      <c r="W476" s="547"/>
      <c r="X476" s="547"/>
      <c r="Y476" s="547"/>
      <c r="Z476" s="547"/>
      <c r="AA476" s="547"/>
      <c r="AB476" s="547"/>
      <c r="AC476" s="547"/>
      <c r="AD476" s="547"/>
      <c r="AE476" s="547"/>
      <c r="AF476" s="547"/>
      <c r="AG476" s="547"/>
      <c r="AH476" s="547"/>
      <c r="AI476" s="547"/>
      <c r="AJ476" s="547"/>
      <c r="AK476" s="547"/>
      <c r="AL476" s="547"/>
      <c r="AM476" s="547"/>
      <c r="AN476" s="547"/>
      <c r="AO476" s="547"/>
      <c r="AP476" s="547"/>
      <c r="AQ476" s="547"/>
      <c r="AR476" s="547"/>
      <c r="AS476" s="547"/>
      <c r="AT476" s="547"/>
      <c r="AU476" s="547"/>
      <c r="AV476" s="547"/>
      <c r="AW476" s="547"/>
      <c r="AX476" s="547"/>
      <c r="AY476" s="547"/>
      <c r="AZ476" s="547"/>
      <c r="BA476" s="547"/>
      <c r="BB476" s="547"/>
      <c r="BC476" s="547"/>
      <c r="BD476" s="547"/>
      <c r="BE476" s="547"/>
      <c r="BF476" s="547"/>
      <c r="BG476" s="547"/>
      <c r="BH476" s="547"/>
      <c r="BI476" s="547"/>
      <c r="BJ476" s="547"/>
      <c r="BK476" s="547"/>
      <c r="BL476" s="547"/>
      <c r="BM476" s="547"/>
      <c r="BN476" s="547"/>
      <c r="BO476" s="547"/>
      <c r="BP476" s="547"/>
      <c r="BQ476" s="547"/>
      <c r="BR476" s="547"/>
      <c r="BS476" s="547"/>
      <c r="BT476" s="547"/>
      <c r="BU476" s="547"/>
      <c r="BV476" s="547"/>
      <c r="BW476" s="547"/>
      <c r="BX476" s="547"/>
      <c r="BY476" s="547"/>
      <c r="BZ476" s="547"/>
      <c r="CA476" s="547"/>
      <c r="CB476" s="547"/>
      <c r="CC476" s="547"/>
    </row>
    <row r="477" spans="1:81">
      <c r="A477" s="547"/>
      <c r="B477" s="547"/>
      <c r="C477" s="547"/>
      <c r="D477" s="547"/>
      <c r="E477" s="547"/>
      <c r="F477" s="547"/>
      <c r="G477" s="547"/>
      <c r="H477" s="547"/>
      <c r="I477" s="547"/>
      <c r="J477" s="547"/>
      <c r="K477" s="547"/>
      <c r="L477" s="547"/>
      <c r="M477" s="547"/>
      <c r="N477" s="547"/>
      <c r="O477" s="547"/>
      <c r="P477" s="547"/>
      <c r="Q477" s="547"/>
      <c r="R477" s="547"/>
      <c r="S477" s="547"/>
      <c r="T477" s="547"/>
      <c r="U477" s="547"/>
      <c r="V477" s="547"/>
      <c r="W477" s="547"/>
      <c r="X477" s="547"/>
      <c r="Y477" s="547"/>
      <c r="Z477" s="547"/>
      <c r="AA477" s="547"/>
      <c r="AB477" s="547"/>
      <c r="AC477" s="547"/>
      <c r="AD477" s="547"/>
      <c r="AE477" s="547"/>
      <c r="AF477" s="547"/>
      <c r="AG477" s="547"/>
      <c r="AH477" s="547"/>
      <c r="AI477" s="547"/>
      <c r="AJ477" s="547"/>
      <c r="AK477" s="547"/>
      <c r="AL477" s="547"/>
      <c r="AM477" s="547"/>
      <c r="AN477" s="547"/>
      <c r="AO477" s="547"/>
      <c r="AP477" s="547"/>
      <c r="AQ477" s="547"/>
      <c r="AR477" s="547"/>
      <c r="AS477" s="547"/>
      <c r="AT477" s="547"/>
      <c r="AU477" s="547"/>
      <c r="AV477" s="547"/>
      <c r="AW477" s="547"/>
      <c r="AX477" s="547"/>
      <c r="AY477" s="547"/>
      <c r="AZ477" s="547"/>
      <c r="BA477" s="547"/>
      <c r="BB477" s="547"/>
      <c r="BC477" s="547"/>
      <c r="BD477" s="547"/>
      <c r="BE477" s="547"/>
      <c r="BF477" s="547"/>
      <c r="BG477" s="547"/>
      <c r="BH477" s="547"/>
      <c r="BI477" s="547"/>
      <c r="BJ477" s="547"/>
      <c r="BK477" s="547"/>
      <c r="BL477" s="547"/>
      <c r="BM477" s="547"/>
      <c r="BN477" s="547"/>
      <c r="BO477" s="547"/>
      <c r="BP477" s="547"/>
      <c r="BQ477" s="547"/>
      <c r="BR477" s="547"/>
      <c r="BS477" s="547"/>
      <c r="BT477" s="547"/>
      <c r="BU477" s="547"/>
      <c r="BV477" s="547"/>
      <c r="BW477" s="547"/>
      <c r="BX477" s="547"/>
      <c r="BY477" s="547"/>
      <c r="BZ477" s="547"/>
      <c r="CA477" s="547"/>
      <c r="CB477" s="547"/>
      <c r="CC477" s="547"/>
    </row>
    <row r="478" spans="1:81">
      <c r="A478" s="547"/>
      <c r="B478" s="547"/>
      <c r="C478" s="547"/>
      <c r="D478" s="547"/>
      <c r="E478" s="547"/>
      <c r="F478" s="547"/>
      <c r="G478" s="547"/>
      <c r="H478" s="547"/>
      <c r="I478" s="547"/>
      <c r="J478" s="547"/>
      <c r="K478" s="547"/>
      <c r="L478" s="547"/>
      <c r="M478" s="547"/>
      <c r="N478" s="547"/>
      <c r="O478" s="547"/>
      <c r="P478" s="547"/>
      <c r="Q478" s="547"/>
      <c r="R478" s="547"/>
      <c r="S478" s="547"/>
      <c r="T478" s="547"/>
      <c r="U478" s="547"/>
      <c r="V478" s="547"/>
      <c r="W478" s="547"/>
      <c r="X478" s="547"/>
      <c r="Y478" s="547"/>
      <c r="Z478" s="547"/>
      <c r="AA478" s="547"/>
      <c r="AB478" s="547"/>
      <c r="AC478" s="547"/>
      <c r="AD478" s="547"/>
      <c r="AE478" s="547"/>
      <c r="AF478" s="547"/>
      <c r="AG478" s="547"/>
      <c r="AH478" s="547"/>
      <c r="AI478" s="547"/>
      <c r="AJ478" s="547"/>
      <c r="AK478" s="547"/>
      <c r="AL478" s="547"/>
      <c r="AM478" s="547"/>
      <c r="AN478" s="547"/>
      <c r="AO478" s="547"/>
      <c r="AP478" s="547"/>
      <c r="AQ478" s="547"/>
      <c r="AR478" s="547"/>
      <c r="AS478" s="547"/>
      <c r="AT478" s="547"/>
      <c r="AU478" s="547"/>
      <c r="AV478" s="547"/>
      <c r="AW478" s="547"/>
      <c r="AX478" s="547"/>
      <c r="AY478" s="547"/>
      <c r="AZ478" s="547"/>
      <c r="BA478" s="547"/>
      <c r="BB478" s="547"/>
      <c r="BC478" s="547"/>
      <c r="BD478" s="547"/>
      <c r="BE478" s="547"/>
      <c r="BF478" s="547"/>
      <c r="BG478" s="547"/>
      <c r="BH478" s="547"/>
      <c r="BI478" s="547"/>
      <c r="BJ478" s="547"/>
      <c r="BK478" s="547"/>
      <c r="BL478" s="547"/>
      <c r="BM478" s="547"/>
      <c r="BN478" s="547"/>
      <c r="BO478" s="547"/>
      <c r="BP478" s="547"/>
      <c r="BQ478" s="547"/>
      <c r="BR478" s="547"/>
      <c r="BS478" s="547"/>
      <c r="BT478" s="547"/>
      <c r="BU478" s="547"/>
      <c r="BV478" s="547"/>
      <c r="BW478" s="547"/>
      <c r="BX478" s="547"/>
      <c r="BY478" s="547"/>
      <c r="BZ478" s="547"/>
      <c r="CA478" s="547"/>
      <c r="CB478" s="547"/>
      <c r="CC478" s="547"/>
    </row>
    <row r="479" spans="1:81">
      <c r="A479" s="547"/>
      <c r="B479" s="547"/>
      <c r="C479" s="547"/>
      <c r="D479" s="547"/>
      <c r="E479" s="547"/>
      <c r="F479" s="547"/>
      <c r="G479" s="547"/>
      <c r="H479" s="547"/>
      <c r="I479" s="547"/>
      <c r="J479" s="547"/>
      <c r="K479" s="547"/>
      <c r="L479" s="547"/>
      <c r="M479" s="547"/>
      <c r="N479" s="547"/>
      <c r="O479" s="547"/>
      <c r="P479" s="547"/>
      <c r="Q479" s="547"/>
      <c r="R479" s="547"/>
      <c r="S479" s="547"/>
      <c r="T479" s="547"/>
      <c r="U479" s="547"/>
      <c r="V479" s="547"/>
      <c r="W479" s="547"/>
      <c r="X479" s="547"/>
      <c r="Y479" s="547"/>
      <c r="Z479" s="547"/>
      <c r="AA479" s="547"/>
      <c r="AB479" s="547"/>
      <c r="AC479" s="547"/>
      <c r="AD479" s="547"/>
      <c r="AE479" s="547"/>
      <c r="AF479" s="547"/>
      <c r="AG479" s="547"/>
      <c r="AH479" s="547"/>
      <c r="AI479" s="547"/>
      <c r="AJ479" s="547"/>
      <c r="AK479" s="547"/>
      <c r="AL479" s="547"/>
      <c r="AM479" s="547"/>
      <c r="AN479" s="547"/>
      <c r="AO479" s="547"/>
      <c r="AP479" s="547"/>
      <c r="AQ479" s="547"/>
      <c r="AR479" s="547"/>
      <c r="AS479" s="547"/>
      <c r="AT479" s="547"/>
      <c r="AU479" s="547"/>
      <c r="AV479" s="547"/>
      <c r="AW479" s="547"/>
      <c r="AX479" s="547"/>
      <c r="AY479" s="547"/>
      <c r="AZ479" s="547"/>
      <c r="BA479" s="547"/>
      <c r="BB479" s="547"/>
      <c r="BC479" s="547"/>
      <c r="BD479" s="547"/>
      <c r="BE479" s="547"/>
      <c r="BF479" s="547"/>
      <c r="BG479" s="547"/>
      <c r="BH479" s="547"/>
      <c r="BI479" s="547"/>
      <c r="BJ479" s="547"/>
      <c r="BK479" s="547"/>
      <c r="BL479" s="547"/>
      <c r="BM479" s="547"/>
      <c r="BN479" s="547"/>
      <c r="BO479" s="547"/>
      <c r="BP479" s="547"/>
      <c r="BQ479" s="547"/>
      <c r="BR479" s="547"/>
      <c r="BS479" s="547"/>
      <c r="BT479" s="547"/>
      <c r="BU479" s="547"/>
      <c r="BV479" s="547"/>
      <c r="BW479" s="547"/>
      <c r="BX479" s="547"/>
      <c r="BY479" s="547"/>
      <c r="BZ479" s="547"/>
      <c r="CA479" s="547"/>
      <c r="CB479" s="547"/>
      <c r="CC479" s="547"/>
    </row>
    <row r="480" spans="1:81">
      <c r="A480" s="547"/>
      <c r="B480" s="547"/>
      <c r="C480" s="547"/>
      <c r="D480" s="547"/>
      <c r="E480" s="547"/>
      <c r="F480" s="547"/>
      <c r="G480" s="547"/>
      <c r="H480" s="547"/>
      <c r="I480" s="547"/>
      <c r="J480" s="547"/>
      <c r="K480" s="547"/>
      <c r="L480" s="547"/>
      <c r="M480" s="547"/>
      <c r="N480" s="547"/>
      <c r="O480" s="547"/>
      <c r="P480" s="547"/>
      <c r="Q480" s="547"/>
      <c r="R480" s="547"/>
      <c r="S480" s="547"/>
      <c r="T480" s="547"/>
      <c r="U480" s="547"/>
      <c r="V480" s="547"/>
      <c r="W480" s="547"/>
      <c r="X480" s="547"/>
      <c r="Y480" s="547"/>
      <c r="Z480" s="547"/>
      <c r="AA480" s="547"/>
      <c r="AB480" s="547"/>
      <c r="AC480" s="547"/>
      <c r="AD480" s="547"/>
      <c r="AE480" s="547"/>
      <c r="AF480" s="547"/>
      <c r="AG480" s="547"/>
      <c r="AH480" s="547"/>
      <c r="AI480" s="547"/>
      <c r="AJ480" s="547"/>
      <c r="AK480" s="547"/>
      <c r="AL480" s="547"/>
      <c r="AM480" s="547"/>
      <c r="AN480" s="547"/>
      <c r="AO480" s="547"/>
      <c r="AP480" s="547"/>
      <c r="AQ480" s="547"/>
      <c r="AR480" s="547"/>
      <c r="AS480" s="547"/>
      <c r="AT480" s="547"/>
      <c r="AU480" s="547"/>
      <c r="AV480" s="547"/>
      <c r="AW480" s="547"/>
      <c r="AX480" s="547"/>
      <c r="AY480" s="547"/>
      <c r="AZ480" s="547"/>
      <c r="BA480" s="547"/>
      <c r="BB480" s="547"/>
      <c r="BC480" s="547"/>
      <c r="BD480" s="547"/>
      <c r="BE480" s="547"/>
      <c r="BF480" s="547"/>
      <c r="BG480" s="547"/>
      <c r="BH480" s="547"/>
      <c r="BI480" s="547"/>
      <c r="BJ480" s="547"/>
      <c r="BK480" s="547"/>
      <c r="BL480" s="547"/>
      <c r="BM480" s="547"/>
      <c r="BN480" s="547"/>
      <c r="BO480" s="547"/>
      <c r="BP480" s="547"/>
      <c r="BQ480" s="547"/>
      <c r="BR480" s="547"/>
      <c r="BS480" s="547"/>
      <c r="BT480" s="547"/>
      <c r="BU480" s="547"/>
      <c r="BV480" s="547"/>
      <c r="BW480" s="547"/>
      <c r="BX480" s="547"/>
      <c r="BY480" s="547"/>
      <c r="BZ480" s="547"/>
      <c r="CA480" s="547"/>
      <c r="CB480" s="547"/>
      <c r="CC480" s="547"/>
    </row>
    <row r="481" spans="1:81">
      <c r="A481" s="547"/>
      <c r="B481" s="547"/>
      <c r="C481" s="547"/>
      <c r="D481" s="547"/>
      <c r="E481" s="547"/>
      <c r="F481" s="547"/>
      <c r="G481" s="547"/>
      <c r="H481" s="547"/>
      <c r="I481" s="547"/>
      <c r="J481" s="547"/>
      <c r="K481" s="547"/>
      <c r="L481" s="547"/>
      <c r="M481" s="547"/>
      <c r="N481" s="547"/>
      <c r="O481" s="547"/>
      <c r="P481" s="547"/>
      <c r="Q481" s="547"/>
      <c r="R481" s="547"/>
      <c r="S481" s="547"/>
      <c r="T481" s="547"/>
      <c r="U481" s="547"/>
      <c r="V481" s="547"/>
      <c r="W481" s="547"/>
      <c r="X481" s="547"/>
      <c r="Y481" s="547"/>
      <c r="Z481" s="547"/>
      <c r="AA481" s="547"/>
      <c r="AB481" s="547"/>
      <c r="AC481" s="547"/>
      <c r="AD481" s="547"/>
      <c r="AE481" s="547"/>
      <c r="AF481" s="547"/>
      <c r="AG481" s="547"/>
      <c r="AH481" s="547"/>
      <c r="AI481" s="547"/>
      <c r="AJ481" s="547"/>
      <c r="AK481" s="547"/>
      <c r="AL481" s="547"/>
      <c r="AM481" s="547"/>
      <c r="AN481" s="547"/>
      <c r="AO481" s="547"/>
      <c r="AP481" s="547"/>
      <c r="AQ481" s="547"/>
      <c r="AR481" s="547"/>
      <c r="AS481" s="547"/>
      <c r="AT481" s="547"/>
      <c r="AU481" s="547"/>
      <c r="AV481" s="547"/>
      <c r="AW481" s="547"/>
      <c r="AX481" s="547"/>
      <c r="AY481" s="547"/>
      <c r="AZ481" s="547"/>
      <c r="BA481" s="547"/>
      <c r="BB481" s="547"/>
      <c r="BC481" s="547"/>
      <c r="BD481" s="547"/>
      <c r="BE481" s="547"/>
      <c r="BF481" s="547"/>
      <c r="BG481" s="547"/>
      <c r="BH481" s="547"/>
      <c r="BI481" s="547"/>
      <c r="BJ481" s="547"/>
      <c r="BK481" s="547"/>
      <c r="BL481" s="547"/>
      <c r="BM481" s="547"/>
      <c r="BN481" s="547"/>
      <c r="BO481" s="547"/>
      <c r="BP481" s="547"/>
      <c r="BQ481" s="547"/>
      <c r="BR481" s="547"/>
      <c r="BS481" s="547"/>
      <c r="BT481" s="547"/>
      <c r="BU481" s="547"/>
      <c r="BV481" s="547"/>
      <c r="BW481" s="547"/>
      <c r="BX481" s="547"/>
      <c r="BY481" s="547"/>
      <c r="BZ481" s="547"/>
      <c r="CA481" s="547"/>
      <c r="CB481" s="547"/>
      <c r="CC481" s="547"/>
    </row>
    <row r="482" spans="1:81">
      <c r="A482" s="547"/>
      <c r="B482" s="547"/>
      <c r="C482" s="547"/>
      <c r="D482" s="547"/>
      <c r="E482" s="547"/>
      <c r="F482" s="547"/>
      <c r="G482" s="547"/>
      <c r="H482" s="547"/>
      <c r="I482" s="547"/>
      <c r="J482" s="547"/>
      <c r="K482" s="547"/>
      <c r="L482" s="547"/>
      <c r="M482" s="547"/>
      <c r="N482" s="547"/>
      <c r="O482" s="547"/>
      <c r="P482" s="547"/>
      <c r="Q482" s="547"/>
      <c r="R482" s="547"/>
      <c r="S482" s="547"/>
      <c r="T482" s="547"/>
      <c r="U482" s="547"/>
      <c r="V482" s="547"/>
      <c r="W482" s="547"/>
      <c r="X482" s="547"/>
      <c r="Y482" s="547"/>
      <c r="Z482" s="547"/>
      <c r="AA482" s="547"/>
      <c r="AB482" s="547"/>
      <c r="AC482" s="547"/>
      <c r="AD482" s="547"/>
      <c r="AE482" s="547"/>
      <c r="AF482" s="547"/>
      <c r="AG482" s="547"/>
      <c r="AH482" s="547"/>
      <c r="AI482" s="547"/>
      <c r="AJ482" s="547"/>
      <c r="AK482" s="547"/>
      <c r="AL482" s="547"/>
      <c r="AM482" s="547"/>
      <c r="AN482" s="547"/>
      <c r="AO482" s="547"/>
      <c r="AP482" s="547"/>
      <c r="AQ482" s="547"/>
      <c r="AR482" s="547"/>
      <c r="AS482" s="547"/>
      <c r="AT482" s="547"/>
      <c r="AU482" s="547"/>
      <c r="AV482" s="547"/>
      <c r="AW482" s="547"/>
      <c r="AX482" s="547"/>
      <c r="AY482" s="547"/>
      <c r="AZ482" s="547"/>
      <c r="BA482" s="547"/>
      <c r="BB482" s="547"/>
      <c r="BC482" s="547"/>
      <c r="BD482" s="547"/>
      <c r="BE482" s="547"/>
      <c r="BF482" s="547"/>
      <c r="BG482" s="547"/>
      <c r="BH482" s="547"/>
      <c r="BI482" s="547"/>
      <c r="BJ482" s="547"/>
      <c r="BK482" s="547"/>
      <c r="BL482" s="547"/>
      <c r="BM482" s="547"/>
      <c r="BN482" s="547"/>
      <c r="BO482" s="547"/>
      <c r="BP482" s="547"/>
      <c r="BQ482" s="547"/>
      <c r="BR482" s="547"/>
      <c r="BS482" s="547"/>
      <c r="BT482" s="547"/>
      <c r="BU482" s="547"/>
      <c r="BV482" s="547"/>
      <c r="BW482" s="547"/>
      <c r="BX482" s="547"/>
      <c r="BY482" s="547"/>
      <c r="BZ482" s="547"/>
      <c r="CA482" s="547"/>
      <c r="CB482" s="547"/>
      <c r="CC482" s="547"/>
    </row>
    <row r="483" spans="1:81">
      <c r="A483" s="547"/>
      <c r="B483" s="547"/>
      <c r="C483" s="547"/>
      <c r="D483" s="547"/>
      <c r="E483" s="547"/>
      <c r="F483" s="547"/>
      <c r="G483" s="547"/>
      <c r="H483" s="547"/>
      <c r="I483" s="547"/>
      <c r="J483" s="547"/>
      <c r="K483" s="547"/>
      <c r="L483" s="547"/>
      <c r="M483" s="547"/>
      <c r="N483" s="547"/>
      <c r="O483" s="547"/>
      <c r="P483" s="547"/>
      <c r="Q483" s="547"/>
      <c r="R483" s="547"/>
      <c r="S483" s="547"/>
      <c r="T483" s="547"/>
      <c r="U483" s="547"/>
      <c r="V483" s="547"/>
      <c r="W483" s="547"/>
      <c r="X483" s="547"/>
      <c r="Y483" s="547"/>
      <c r="Z483" s="547"/>
      <c r="AA483" s="547"/>
      <c r="AB483" s="547"/>
      <c r="AC483" s="547"/>
      <c r="AD483" s="547"/>
      <c r="AE483" s="547"/>
      <c r="AF483" s="547"/>
      <c r="AG483" s="547"/>
      <c r="AH483" s="547"/>
      <c r="AI483" s="547"/>
      <c r="AJ483" s="547"/>
      <c r="AK483" s="547"/>
      <c r="AL483" s="547"/>
      <c r="AM483" s="547"/>
      <c r="AN483" s="547"/>
      <c r="AO483" s="547"/>
      <c r="AP483" s="547"/>
      <c r="AQ483" s="547"/>
      <c r="AR483" s="547"/>
      <c r="AS483" s="547"/>
      <c r="AT483" s="547"/>
      <c r="AU483" s="547"/>
      <c r="AV483" s="547"/>
      <c r="AW483" s="547"/>
      <c r="AX483" s="547"/>
      <c r="AY483" s="547"/>
      <c r="AZ483" s="547"/>
      <c r="BA483" s="547"/>
      <c r="BB483" s="547"/>
      <c r="BC483" s="547"/>
      <c r="BD483" s="547"/>
      <c r="BE483" s="547"/>
      <c r="BF483" s="547"/>
      <c r="BG483" s="547"/>
      <c r="BH483" s="547"/>
      <c r="BI483" s="547"/>
      <c r="BJ483" s="547"/>
      <c r="BK483" s="547"/>
      <c r="BL483" s="547"/>
      <c r="BM483" s="547"/>
      <c r="BN483" s="547"/>
      <c r="BO483" s="547"/>
      <c r="BP483" s="547"/>
      <c r="BQ483" s="547"/>
      <c r="BR483" s="547"/>
      <c r="BS483" s="547"/>
      <c r="BT483" s="547"/>
      <c r="BU483" s="547"/>
      <c r="BV483" s="547"/>
      <c r="BW483" s="547"/>
      <c r="BX483" s="547"/>
      <c r="BY483" s="547"/>
      <c r="BZ483" s="547"/>
      <c r="CA483" s="547"/>
      <c r="CB483" s="547"/>
      <c r="CC483" s="547"/>
    </row>
    <row r="484" spans="1:81">
      <c r="A484" s="547"/>
      <c r="B484" s="547"/>
      <c r="C484" s="547"/>
      <c r="D484" s="547"/>
      <c r="E484" s="547"/>
      <c r="F484" s="547"/>
      <c r="G484" s="547"/>
      <c r="H484" s="547"/>
      <c r="I484" s="547"/>
      <c r="J484" s="547"/>
      <c r="K484" s="547"/>
      <c r="L484" s="547"/>
      <c r="M484" s="547"/>
      <c r="N484" s="547"/>
      <c r="O484" s="547"/>
      <c r="P484" s="547"/>
      <c r="Q484" s="547"/>
      <c r="R484" s="547"/>
      <c r="S484" s="547"/>
      <c r="T484" s="547"/>
      <c r="U484" s="547"/>
      <c r="V484" s="547"/>
      <c r="W484" s="547"/>
      <c r="X484" s="547"/>
      <c r="Y484" s="547"/>
      <c r="Z484" s="547"/>
      <c r="AA484" s="547"/>
      <c r="AB484" s="547"/>
      <c r="AC484" s="547"/>
      <c r="AD484" s="547"/>
      <c r="AE484" s="547"/>
      <c r="AF484" s="547"/>
      <c r="AG484" s="547"/>
      <c r="AH484" s="547"/>
      <c r="AI484" s="547"/>
      <c r="AJ484" s="547"/>
      <c r="AK484" s="547"/>
      <c r="AL484" s="547"/>
      <c r="AM484" s="547"/>
      <c r="AN484" s="547"/>
      <c r="AO484" s="547"/>
      <c r="AP484" s="547"/>
      <c r="AQ484" s="547"/>
      <c r="AR484" s="547"/>
      <c r="AS484" s="547"/>
      <c r="AT484" s="547"/>
      <c r="AU484" s="547"/>
      <c r="AV484" s="547"/>
      <c r="AW484" s="547"/>
      <c r="AX484" s="547"/>
      <c r="AY484" s="547"/>
      <c r="AZ484" s="547"/>
      <c r="BA484" s="547"/>
      <c r="BB484" s="547"/>
      <c r="BC484" s="547"/>
      <c r="BD484" s="547"/>
      <c r="BE484" s="547"/>
      <c r="BF484" s="547"/>
      <c r="BG484" s="547"/>
      <c r="BH484" s="547"/>
      <c r="BI484" s="547"/>
      <c r="BJ484" s="547"/>
      <c r="BK484" s="547"/>
      <c r="BL484" s="547"/>
      <c r="BM484" s="547"/>
      <c r="BN484" s="547"/>
      <c r="BO484" s="547"/>
      <c r="BP484" s="547"/>
      <c r="BQ484" s="547"/>
      <c r="BR484" s="547"/>
      <c r="BS484" s="547"/>
      <c r="BT484" s="547"/>
      <c r="BU484" s="547"/>
      <c r="BV484" s="547"/>
      <c r="BW484" s="547"/>
      <c r="BX484" s="547"/>
      <c r="BY484" s="547"/>
      <c r="BZ484" s="547"/>
      <c r="CA484" s="547"/>
      <c r="CB484" s="547"/>
      <c r="CC484" s="547"/>
    </row>
    <row r="485" spans="1:81">
      <c r="A485" s="547"/>
      <c r="B485" s="547"/>
      <c r="C485" s="547"/>
      <c r="D485" s="547"/>
      <c r="E485" s="547"/>
      <c r="F485" s="547"/>
      <c r="G485" s="547"/>
      <c r="H485" s="547"/>
      <c r="I485" s="547"/>
      <c r="J485" s="547"/>
      <c r="K485" s="547"/>
      <c r="L485" s="547"/>
      <c r="M485" s="547"/>
      <c r="N485" s="547"/>
      <c r="O485" s="547"/>
      <c r="P485" s="547"/>
      <c r="Q485" s="547"/>
      <c r="R485" s="547"/>
      <c r="S485" s="547"/>
      <c r="T485" s="547"/>
      <c r="U485" s="547"/>
      <c r="V485" s="547"/>
      <c r="W485" s="547"/>
      <c r="X485" s="547"/>
      <c r="Y485" s="547"/>
      <c r="Z485" s="547"/>
      <c r="AA485" s="547"/>
      <c r="AB485" s="547"/>
      <c r="AC485" s="547"/>
      <c r="AD485" s="547"/>
      <c r="AE485" s="547"/>
      <c r="AF485" s="547"/>
      <c r="AG485" s="547"/>
      <c r="AH485" s="547"/>
      <c r="AI485" s="547"/>
      <c r="AJ485" s="547"/>
      <c r="AK485" s="547"/>
      <c r="AL485" s="547"/>
      <c r="AM485" s="547"/>
      <c r="AN485" s="547"/>
      <c r="AO485" s="547"/>
      <c r="AP485" s="547"/>
      <c r="AQ485" s="547"/>
      <c r="AR485" s="547"/>
      <c r="AS485" s="547"/>
      <c r="AT485" s="547"/>
      <c r="AU485" s="547"/>
      <c r="AV485" s="547"/>
      <c r="AW485" s="547"/>
      <c r="AX485" s="547"/>
      <c r="AY485" s="547"/>
      <c r="AZ485" s="547"/>
      <c r="BA485" s="547"/>
      <c r="BB485" s="547"/>
      <c r="BC485" s="547"/>
      <c r="BD485" s="547"/>
      <c r="BE485" s="547"/>
      <c r="BF485" s="547"/>
      <c r="BG485" s="547"/>
      <c r="BH485" s="547"/>
      <c r="BI485" s="547"/>
      <c r="BJ485" s="547"/>
      <c r="BK485" s="547"/>
      <c r="BL485" s="547"/>
      <c r="BM485" s="547"/>
      <c r="BN485" s="547"/>
      <c r="BO485" s="547"/>
      <c r="BP485" s="547"/>
      <c r="BQ485" s="547"/>
      <c r="BR485" s="547"/>
      <c r="BS485" s="547"/>
      <c r="BT485" s="547"/>
      <c r="BU485" s="547"/>
      <c r="BV485" s="547"/>
      <c r="BW485" s="547"/>
      <c r="BX485" s="547"/>
      <c r="BY485" s="547"/>
      <c r="BZ485" s="547"/>
      <c r="CA485" s="547"/>
      <c r="CB485" s="547"/>
      <c r="CC485" s="547"/>
    </row>
    <row r="486" spans="1:81">
      <c r="A486" s="547"/>
      <c r="B486" s="547"/>
      <c r="C486" s="547"/>
      <c r="D486" s="547"/>
      <c r="E486" s="547"/>
      <c r="F486" s="547"/>
      <c r="G486" s="547"/>
      <c r="H486" s="547"/>
      <c r="I486" s="547"/>
      <c r="J486" s="547"/>
      <c r="K486" s="547"/>
      <c r="L486" s="547"/>
      <c r="M486" s="547"/>
      <c r="N486" s="547"/>
      <c r="O486" s="547"/>
      <c r="P486" s="547"/>
      <c r="Q486" s="547"/>
      <c r="R486" s="547"/>
      <c r="S486" s="547"/>
      <c r="T486" s="547"/>
      <c r="U486" s="547"/>
      <c r="V486" s="547"/>
      <c r="W486" s="547"/>
      <c r="X486" s="547"/>
      <c r="Y486" s="547"/>
      <c r="Z486" s="547"/>
      <c r="AA486" s="547"/>
      <c r="AB486" s="547"/>
      <c r="AC486" s="547"/>
      <c r="AD486" s="547"/>
      <c r="AE486" s="547"/>
      <c r="AF486" s="547"/>
      <c r="AG486" s="547"/>
      <c r="AH486" s="547"/>
      <c r="AI486" s="547"/>
      <c r="AJ486" s="547"/>
      <c r="AK486" s="547"/>
      <c r="AL486" s="547"/>
      <c r="AM486" s="547"/>
      <c r="AN486" s="547"/>
      <c r="AO486" s="547"/>
      <c r="AP486" s="547"/>
      <c r="AQ486" s="547"/>
      <c r="AR486" s="547"/>
      <c r="AS486" s="547"/>
      <c r="AT486" s="547"/>
      <c r="AU486" s="547"/>
      <c r="AV486" s="547"/>
      <c r="AW486" s="547"/>
      <c r="AX486" s="547"/>
      <c r="AY486" s="547"/>
      <c r="AZ486" s="547"/>
      <c r="BA486" s="547"/>
      <c r="BB486" s="547"/>
      <c r="BC486" s="547"/>
      <c r="BD486" s="547"/>
      <c r="BE486" s="547"/>
      <c r="BF486" s="547"/>
      <c r="BG486" s="547"/>
      <c r="BH486" s="547"/>
      <c r="BI486" s="547"/>
      <c r="BJ486" s="547"/>
      <c r="BK486" s="547"/>
      <c r="BL486" s="547"/>
      <c r="BM486" s="547"/>
      <c r="BN486" s="547"/>
      <c r="BO486" s="547"/>
      <c r="BP486" s="547"/>
      <c r="BQ486" s="547"/>
      <c r="BR486" s="547"/>
      <c r="BS486" s="547"/>
      <c r="BT486" s="547"/>
      <c r="BU486" s="547"/>
      <c r="BV486" s="547"/>
      <c r="BW486" s="547"/>
      <c r="BX486" s="547"/>
      <c r="BY486" s="547"/>
      <c r="BZ486" s="547"/>
      <c r="CA486" s="547"/>
      <c r="CB486" s="547"/>
      <c r="CC486" s="547"/>
    </row>
    <row r="487" spans="1:81">
      <c r="A487" s="547"/>
      <c r="B487" s="547"/>
      <c r="C487" s="547"/>
      <c r="D487" s="547"/>
      <c r="E487" s="547"/>
      <c r="F487" s="547"/>
      <c r="G487" s="547"/>
      <c r="H487" s="547"/>
      <c r="I487" s="547"/>
      <c r="J487" s="547"/>
      <c r="K487" s="547"/>
      <c r="L487" s="547"/>
      <c r="M487" s="547"/>
      <c r="N487" s="547"/>
      <c r="O487" s="547"/>
      <c r="P487" s="547"/>
      <c r="Q487" s="547"/>
      <c r="R487" s="547"/>
      <c r="S487" s="547"/>
      <c r="T487" s="547"/>
      <c r="U487" s="547"/>
      <c r="V487" s="547"/>
      <c r="W487" s="547"/>
      <c r="X487" s="547"/>
      <c r="Y487" s="547"/>
      <c r="Z487" s="547"/>
      <c r="AA487" s="547"/>
      <c r="AB487" s="547"/>
      <c r="AC487" s="547"/>
      <c r="AD487" s="547"/>
      <c r="AE487" s="547"/>
      <c r="AF487" s="547"/>
      <c r="AG487" s="547"/>
      <c r="AH487" s="547"/>
      <c r="AI487" s="547"/>
      <c r="AJ487" s="547"/>
      <c r="AK487" s="547"/>
      <c r="AL487" s="547"/>
      <c r="AM487" s="547"/>
      <c r="AN487" s="547"/>
      <c r="AO487" s="547"/>
      <c r="AP487" s="547"/>
      <c r="AQ487" s="547"/>
      <c r="AR487" s="547"/>
      <c r="AS487" s="547"/>
      <c r="AT487" s="547"/>
      <c r="AU487" s="547"/>
      <c r="AV487" s="547"/>
      <c r="AW487" s="547"/>
      <c r="AX487" s="547"/>
      <c r="AY487" s="547"/>
      <c r="AZ487" s="547"/>
      <c r="BA487" s="547"/>
      <c r="BB487" s="547"/>
      <c r="BC487" s="547"/>
      <c r="BD487" s="547"/>
      <c r="BE487" s="547"/>
      <c r="BF487" s="547"/>
      <c r="BG487" s="547"/>
      <c r="BH487" s="547"/>
      <c r="BI487" s="547"/>
      <c r="BJ487" s="547"/>
      <c r="BK487" s="547"/>
      <c r="BL487" s="547"/>
      <c r="BM487" s="547"/>
      <c r="BN487" s="547"/>
      <c r="BO487" s="547"/>
      <c r="BP487" s="547"/>
      <c r="BQ487" s="547"/>
      <c r="BR487" s="547"/>
      <c r="BS487" s="547"/>
      <c r="BT487" s="547"/>
      <c r="BU487" s="547"/>
      <c r="BV487" s="547"/>
      <c r="BW487" s="547"/>
      <c r="BX487" s="547"/>
      <c r="BY487" s="547"/>
      <c r="BZ487" s="547"/>
      <c r="CA487" s="547"/>
      <c r="CB487" s="547"/>
      <c r="CC487" s="547"/>
    </row>
    <row r="488" spans="1:81">
      <c r="A488" s="547"/>
      <c r="B488" s="547"/>
      <c r="C488" s="547"/>
      <c r="D488" s="547"/>
      <c r="E488" s="547"/>
      <c r="F488" s="547"/>
      <c r="G488" s="547"/>
      <c r="H488" s="547"/>
      <c r="I488" s="547"/>
      <c r="J488" s="547"/>
      <c r="K488" s="547"/>
      <c r="L488" s="547"/>
      <c r="M488" s="547"/>
      <c r="N488" s="547"/>
      <c r="O488" s="547"/>
      <c r="P488" s="547"/>
      <c r="Q488" s="547"/>
      <c r="R488" s="547"/>
      <c r="S488" s="547"/>
      <c r="T488" s="547"/>
      <c r="U488" s="547"/>
      <c r="V488" s="547"/>
      <c r="W488" s="547"/>
      <c r="X488" s="547"/>
      <c r="Y488" s="547"/>
      <c r="Z488" s="547"/>
      <c r="AA488" s="547"/>
      <c r="AB488" s="547"/>
      <c r="AC488" s="547"/>
      <c r="AD488" s="547"/>
      <c r="AE488" s="547"/>
      <c r="AF488" s="547"/>
      <c r="AG488" s="547"/>
      <c r="AH488" s="547"/>
      <c r="AI488" s="547"/>
      <c r="AJ488" s="547"/>
      <c r="AK488" s="547"/>
      <c r="AL488" s="547"/>
      <c r="AM488" s="547"/>
      <c r="AN488" s="547"/>
      <c r="AO488" s="547"/>
      <c r="AP488" s="547"/>
      <c r="AQ488" s="547"/>
      <c r="AR488" s="547"/>
      <c r="AS488" s="547"/>
      <c r="AT488" s="547"/>
      <c r="AU488" s="547"/>
      <c r="AV488" s="547"/>
      <c r="AW488" s="547"/>
      <c r="AX488" s="547"/>
      <c r="AY488" s="547"/>
      <c r="AZ488" s="547"/>
      <c r="BA488" s="547"/>
      <c r="BB488" s="547"/>
      <c r="BC488" s="547"/>
      <c r="BD488" s="547"/>
      <c r="BE488" s="547"/>
      <c r="BF488" s="547"/>
      <c r="BG488" s="547"/>
      <c r="BH488" s="547"/>
      <c r="BI488" s="547"/>
      <c r="BJ488" s="547"/>
      <c r="BK488" s="547"/>
      <c r="BL488" s="547"/>
      <c r="BM488" s="547"/>
      <c r="BN488" s="547"/>
      <c r="BO488" s="547"/>
      <c r="BP488" s="547"/>
      <c r="BQ488" s="547"/>
      <c r="BR488" s="547"/>
      <c r="BS488" s="547"/>
      <c r="BT488" s="547"/>
      <c r="BU488" s="547"/>
      <c r="BV488" s="547"/>
      <c r="BW488" s="547"/>
      <c r="BX488" s="547"/>
      <c r="BY488" s="547"/>
      <c r="BZ488" s="547"/>
      <c r="CA488" s="547"/>
      <c r="CB488" s="547"/>
      <c r="CC488" s="547"/>
    </row>
    <row r="489" spans="1:81">
      <c r="A489" s="547"/>
      <c r="B489" s="547"/>
      <c r="C489" s="547"/>
      <c r="D489" s="547"/>
      <c r="E489" s="547"/>
      <c r="F489" s="547"/>
      <c r="G489" s="547"/>
      <c r="H489" s="547"/>
      <c r="I489" s="547"/>
      <c r="J489" s="547"/>
      <c r="K489" s="547"/>
      <c r="L489" s="547"/>
      <c r="M489" s="547"/>
      <c r="N489" s="547"/>
      <c r="O489" s="547"/>
      <c r="P489" s="547"/>
      <c r="Q489" s="547"/>
      <c r="R489" s="547"/>
      <c r="S489" s="547"/>
      <c r="T489" s="547"/>
      <c r="U489" s="547"/>
      <c r="V489" s="547"/>
      <c r="W489" s="547"/>
      <c r="X489" s="547"/>
      <c r="Y489" s="547"/>
      <c r="Z489" s="547"/>
      <c r="AA489" s="547"/>
      <c r="AB489" s="547"/>
      <c r="AC489" s="547"/>
      <c r="AD489" s="547"/>
      <c r="AE489" s="547"/>
      <c r="AF489" s="547"/>
      <c r="AG489" s="547"/>
      <c r="AH489" s="547"/>
      <c r="AI489" s="547"/>
      <c r="AJ489" s="547"/>
      <c r="AK489" s="547"/>
      <c r="AL489" s="547"/>
      <c r="AM489" s="547"/>
      <c r="AN489" s="547"/>
      <c r="AO489" s="547"/>
      <c r="AP489" s="547"/>
      <c r="AQ489" s="547"/>
      <c r="AR489" s="547"/>
      <c r="AS489" s="547"/>
      <c r="AT489" s="547"/>
      <c r="AU489" s="547"/>
      <c r="AV489" s="547"/>
      <c r="AW489" s="547"/>
      <c r="AX489" s="547"/>
      <c r="AY489" s="547"/>
      <c r="AZ489" s="547"/>
      <c r="BA489" s="547"/>
      <c r="BB489" s="547"/>
      <c r="BC489" s="547"/>
      <c r="BD489" s="547"/>
      <c r="BE489" s="547"/>
      <c r="BF489" s="547"/>
      <c r="BG489" s="547"/>
      <c r="BH489" s="547"/>
      <c r="BI489" s="547"/>
      <c r="BJ489" s="547"/>
      <c r="BK489" s="547"/>
      <c r="BL489" s="547"/>
      <c r="BM489" s="547"/>
      <c r="BN489" s="547"/>
      <c r="BO489" s="547"/>
      <c r="BP489" s="547"/>
      <c r="BQ489" s="547"/>
      <c r="BR489" s="547"/>
      <c r="BS489" s="547"/>
      <c r="BT489" s="547"/>
      <c r="BU489" s="547"/>
      <c r="BV489" s="547"/>
      <c r="BW489" s="547"/>
      <c r="BX489" s="547"/>
      <c r="BY489" s="547"/>
      <c r="BZ489" s="547"/>
      <c r="CA489" s="547"/>
      <c r="CB489" s="547"/>
      <c r="CC489" s="547"/>
    </row>
    <row r="490" spans="1:81">
      <c r="A490" s="547"/>
      <c r="B490" s="547"/>
      <c r="C490" s="547"/>
      <c r="D490" s="547"/>
      <c r="E490" s="547"/>
      <c r="F490" s="547"/>
      <c r="G490" s="547"/>
      <c r="H490" s="547"/>
      <c r="I490" s="547"/>
      <c r="J490" s="547"/>
      <c r="K490" s="547"/>
      <c r="L490" s="547"/>
      <c r="M490" s="547"/>
      <c r="N490" s="547"/>
      <c r="O490" s="547"/>
      <c r="P490" s="547"/>
      <c r="Q490" s="547"/>
      <c r="R490" s="547"/>
      <c r="S490" s="547"/>
      <c r="T490" s="547"/>
      <c r="U490" s="547"/>
      <c r="V490" s="547"/>
      <c r="W490" s="547"/>
      <c r="X490" s="547"/>
      <c r="Y490" s="547"/>
      <c r="Z490" s="547"/>
      <c r="AA490" s="547"/>
      <c r="AB490" s="547"/>
      <c r="AC490" s="547"/>
      <c r="AD490" s="547"/>
      <c r="AE490" s="547"/>
      <c r="AF490" s="547"/>
      <c r="AG490" s="547"/>
      <c r="AH490" s="547"/>
      <c r="AI490" s="547"/>
      <c r="AJ490" s="547"/>
      <c r="AK490" s="547"/>
      <c r="AL490" s="547"/>
      <c r="AM490" s="547"/>
      <c r="AN490" s="547"/>
      <c r="AO490" s="547"/>
      <c r="AP490" s="547"/>
      <c r="AQ490" s="547"/>
      <c r="AR490" s="547"/>
      <c r="AS490" s="547"/>
      <c r="AT490" s="547"/>
      <c r="AU490" s="547"/>
      <c r="AV490" s="547"/>
      <c r="AW490" s="547"/>
      <c r="AX490" s="547"/>
      <c r="AY490" s="547"/>
      <c r="AZ490" s="547"/>
      <c r="BA490" s="547"/>
      <c r="BB490" s="547"/>
      <c r="BC490" s="547"/>
      <c r="BD490" s="547"/>
      <c r="BE490" s="547"/>
      <c r="BF490" s="547"/>
      <c r="BG490" s="547"/>
      <c r="BH490" s="547"/>
      <c r="BI490" s="547"/>
      <c r="BJ490" s="547"/>
      <c r="BK490" s="547"/>
      <c r="BL490" s="547"/>
      <c r="BM490" s="547"/>
      <c r="BN490" s="547"/>
      <c r="BO490" s="547"/>
      <c r="BP490" s="547"/>
      <c r="BQ490" s="547"/>
      <c r="BR490" s="547"/>
      <c r="BS490" s="547"/>
      <c r="BT490" s="547"/>
      <c r="BU490" s="547"/>
      <c r="BV490" s="547"/>
      <c r="BW490" s="547"/>
      <c r="BX490" s="547"/>
      <c r="BY490" s="547"/>
      <c r="BZ490" s="547"/>
      <c r="CA490" s="547"/>
      <c r="CB490" s="547"/>
      <c r="CC490" s="547"/>
    </row>
    <row r="491" spans="1:81">
      <c r="A491" s="547"/>
      <c r="B491" s="547"/>
      <c r="C491" s="547"/>
      <c r="D491" s="547"/>
      <c r="E491" s="547"/>
      <c r="F491" s="547"/>
      <c r="G491" s="547"/>
      <c r="H491" s="547"/>
      <c r="I491" s="547"/>
      <c r="J491" s="547"/>
      <c r="K491" s="547"/>
      <c r="L491" s="547"/>
      <c r="M491" s="547"/>
      <c r="N491" s="547"/>
      <c r="O491" s="547"/>
      <c r="P491" s="547"/>
      <c r="Q491" s="547"/>
      <c r="R491" s="547"/>
      <c r="S491" s="547"/>
      <c r="T491" s="547"/>
      <c r="U491" s="547"/>
      <c r="V491" s="547"/>
      <c r="W491" s="547"/>
      <c r="X491" s="547"/>
      <c r="Y491" s="547"/>
      <c r="Z491" s="547"/>
      <c r="AA491" s="547"/>
      <c r="AB491" s="547"/>
      <c r="AC491" s="547"/>
      <c r="AD491" s="547"/>
      <c r="AE491" s="547"/>
      <c r="AF491" s="547"/>
      <c r="AG491" s="547"/>
      <c r="AH491" s="547"/>
      <c r="AI491" s="547"/>
      <c r="AJ491" s="547"/>
      <c r="AK491" s="547"/>
      <c r="AL491" s="547"/>
      <c r="AM491" s="547"/>
      <c r="AN491" s="547"/>
      <c r="AO491" s="547"/>
      <c r="AP491" s="547"/>
      <c r="AQ491" s="547"/>
      <c r="AR491" s="547"/>
      <c r="AS491" s="547"/>
      <c r="AT491" s="547"/>
      <c r="AU491" s="547"/>
      <c r="AV491" s="547"/>
      <c r="AW491" s="547"/>
      <c r="AX491" s="547"/>
      <c r="AY491" s="547"/>
      <c r="AZ491" s="547"/>
      <c r="BA491" s="547"/>
      <c r="BB491" s="547"/>
      <c r="BC491" s="547"/>
      <c r="BD491" s="547"/>
      <c r="BE491" s="547"/>
      <c r="BF491" s="547"/>
      <c r="BG491" s="547"/>
      <c r="BH491" s="547"/>
      <c r="BI491" s="547"/>
      <c r="BJ491" s="547"/>
      <c r="BK491" s="547"/>
      <c r="BL491" s="547"/>
      <c r="BM491" s="547"/>
      <c r="BN491" s="547"/>
      <c r="BO491" s="547"/>
      <c r="BP491" s="547"/>
      <c r="BQ491" s="547"/>
      <c r="BR491" s="547"/>
      <c r="BS491" s="547"/>
      <c r="BT491" s="547"/>
      <c r="BU491" s="547"/>
      <c r="BV491" s="547"/>
      <c r="BW491" s="547"/>
      <c r="BX491" s="547"/>
      <c r="BY491" s="547"/>
      <c r="BZ491" s="547"/>
      <c r="CA491" s="547"/>
      <c r="CB491" s="547"/>
      <c r="CC491" s="547"/>
    </row>
    <row r="492" spans="1:81">
      <c r="A492" s="547"/>
      <c r="B492" s="547"/>
      <c r="C492" s="547"/>
      <c r="D492" s="547"/>
      <c r="E492" s="547"/>
      <c r="F492" s="547"/>
      <c r="G492" s="547"/>
      <c r="H492" s="547"/>
      <c r="I492" s="547"/>
      <c r="J492" s="547"/>
      <c r="K492" s="547"/>
      <c r="L492" s="547"/>
      <c r="M492" s="547"/>
      <c r="N492" s="547"/>
      <c r="O492" s="547"/>
      <c r="P492" s="547"/>
      <c r="Q492" s="547"/>
      <c r="R492" s="547"/>
      <c r="S492" s="547"/>
      <c r="T492" s="547"/>
      <c r="U492" s="547"/>
      <c r="V492" s="547"/>
      <c r="W492" s="547"/>
      <c r="X492" s="547"/>
      <c r="Y492" s="547"/>
      <c r="Z492" s="547"/>
      <c r="AA492" s="547"/>
      <c r="AB492" s="547"/>
      <c r="AC492" s="547"/>
      <c r="AD492" s="547"/>
      <c r="AE492" s="547"/>
      <c r="AF492" s="547"/>
      <c r="AG492" s="547"/>
      <c r="AH492" s="547"/>
      <c r="AI492" s="547"/>
      <c r="AJ492" s="547"/>
      <c r="AK492" s="547"/>
      <c r="AL492" s="547"/>
      <c r="AM492" s="547"/>
      <c r="AN492" s="547"/>
      <c r="AO492" s="547"/>
      <c r="AP492" s="547"/>
      <c r="AQ492" s="547"/>
      <c r="AR492" s="547"/>
      <c r="AS492" s="547"/>
      <c r="AT492" s="547"/>
      <c r="AU492" s="547"/>
      <c r="AV492" s="547"/>
      <c r="AW492" s="547"/>
      <c r="AX492" s="547"/>
      <c r="AY492" s="547"/>
      <c r="AZ492" s="547"/>
      <c r="BA492" s="547"/>
      <c r="BB492" s="547"/>
      <c r="BC492" s="547"/>
      <c r="BD492" s="547"/>
      <c r="BE492" s="547"/>
      <c r="BF492" s="547"/>
      <c r="BG492" s="547"/>
      <c r="BH492" s="547"/>
      <c r="BI492" s="547"/>
      <c r="BJ492" s="547"/>
      <c r="BK492" s="547"/>
      <c r="BL492" s="547"/>
      <c r="BM492" s="547"/>
      <c r="BN492" s="547"/>
      <c r="BO492" s="547"/>
      <c r="BP492" s="547"/>
      <c r="BQ492" s="547"/>
      <c r="BR492" s="547"/>
      <c r="BS492" s="547"/>
      <c r="BT492" s="547"/>
      <c r="BU492" s="547"/>
      <c r="BV492" s="547"/>
      <c r="BW492" s="547"/>
      <c r="BX492" s="547"/>
      <c r="BY492" s="547"/>
      <c r="BZ492" s="547"/>
      <c r="CA492" s="547"/>
      <c r="CB492" s="547"/>
      <c r="CC492" s="547"/>
    </row>
    <row r="493" spans="1:81">
      <c r="A493" s="547"/>
      <c r="B493" s="547"/>
      <c r="C493" s="547"/>
      <c r="D493" s="547"/>
      <c r="E493" s="547"/>
      <c r="F493" s="547"/>
      <c r="G493" s="547"/>
      <c r="H493" s="547"/>
      <c r="I493" s="547"/>
      <c r="J493" s="547"/>
      <c r="K493" s="547"/>
      <c r="L493" s="547"/>
      <c r="M493" s="547"/>
      <c r="N493" s="547"/>
      <c r="O493" s="547"/>
      <c r="P493" s="547"/>
      <c r="Q493" s="547"/>
      <c r="R493" s="547"/>
      <c r="S493" s="547"/>
      <c r="T493" s="547"/>
      <c r="U493" s="547"/>
      <c r="V493" s="547"/>
      <c r="W493" s="547"/>
      <c r="X493" s="547"/>
      <c r="Y493" s="547"/>
      <c r="Z493" s="547"/>
      <c r="AA493" s="547"/>
      <c r="AB493" s="547"/>
      <c r="AC493" s="547"/>
      <c r="AD493" s="547"/>
      <c r="AE493" s="547"/>
      <c r="AF493" s="547"/>
      <c r="AG493" s="547"/>
      <c r="AH493" s="547"/>
      <c r="AI493" s="547"/>
      <c r="AJ493" s="547"/>
      <c r="AK493" s="547"/>
      <c r="AL493" s="547"/>
      <c r="AM493" s="547"/>
      <c r="AN493" s="547"/>
      <c r="AO493" s="547"/>
      <c r="AP493" s="547"/>
      <c r="AQ493" s="547"/>
      <c r="AR493" s="547"/>
      <c r="AS493" s="547"/>
      <c r="AT493" s="547"/>
      <c r="AU493" s="547"/>
      <c r="AV493" s="547"/>
      <c r="AW493" s="547"/>
      <c r="AX493" s="547"/>
      <c r="AY493" s="547"/>
      <c r="AZ493" s="547"/>
      <c r="BA493" s="547"/>
      <c r="BB493" s="547"/>
      <c r="BC493" s="547"/>
      <c r="BD493" s="547"/>
      <c r="BE493" s="547"/>
      <c r="BF493" s="547"/>
      <c r="BG493" s="547"/>
      <c r="BH493" s="547"/>
      <c r="BI493" s="547"/>
      <c r="BJ493" s="547"/>
      <c r="BK493" s="547"/>
      <c r="BL493" s="547"/>
      <c r="BM493" s="547"/>
      <c r="BN493" s="547"/>
      <c r="BO493" s="547"/>
      <c r="BP493" s="547"/>
      <c r="BQ493" s="547"/>
      <c r="BR493" s="547"/>
      <c r="BS493" s="547"/>
      <c r="BT493" s="547"/>
      <c r="BU493" s="547"/>
      <c r="BV493" s="547"/>
      <c r="BW493" s="547"/>
      <c r="BX493" s="547"/>
      <c r="BY493" s="547"/>
      <c r="BZ493" s="547"/>
      <c r="CA493" s="547"/>
      <c r="CB493" s="547"/>
      <c r="CC493" s="547"/>
    </row>
    <row r="494" spans="1:81">
      <c r="A494" s="547"/>
      <c r="B494" s="547"/>
      <c r="C494" s="547"/>
      <c r="D494" s="547"/>
      <c r="E494" s="547"/>
      <c r="F494" s="547"/>
      <c r="G494" s="547"/>
      <c r="H494" s="547"/>
      <c r="I494" s="547"/>
      <c r="J494" s="547"/>
      <c r="K494" s="547"/>
      <c r="L494" s="547"/>
      <c r="M494" s="547"/>
      <c r="N494" s="547"/>
      <c r="O494" s="547"/>
      <c r="P494" s="547"/>
      <c r="Q494" s="547"/>
      <c r="R494" s="547"/>
      <c r="S494" s="547"/>
      <c r="T494" s="547"/>
      <c r="U494" s="547"/>
      <c r="V494" s="547"/>
      <c r="W494" s="547"/>
      <c r="X494" s="547"/>
      <c r="Y494" s="547"/>
      <c r="Z494" s="547"/>
      <c r="AA494" s="547"/>
      <c r="AB494" s="547"/>
      <c r="AC494" s="547"/>
      <c r="AD494" s="547"/>
      <c r="AE494" s="547"/>
      <c r="AF494" s="547"/>
      <c r="AG494" s="547"/>
      <c r="AH494" s="547"/>
      <c r="AI494" s="547"/>
      <c r="AJ494" s="547"/>
      <c r="AK494" s="547"/>
      <c r="AL494" s="547"/>
      <c r="AM494" s="547"/>
      <c r="AN494" s="547"/>
      <c r="AO494" s="547"/>
      <c r="AP494" s="547"/>
      <c r="AQ494" s="547"/>
      <c r="AR494" s="547"/>
      <c r="AS494" s="547"/>
      <c r="AT494" s="547"/>
      <c r="AU494" s="547"/>
      <c r="AV494" s="547"/>
      <c r="AW494" s="547"/>
      <c r="AX494" s="547"/>
      <c r="AY494" s="547"/>
      <c r="AZ494" s="547"/>
      <c r="BA494" s="547"/>
      <c r="BB494" s="547"/>
      <c r="BC494" s="547"/>
      <c r="BD494" s="547"/>
      <c r="BE494" s="547"/>
      <c r="BF494" s="547"/>
      <c r="BG494" s="547"/>
      <c r="BH494" s="547"/>
      <c r="BI494" s="547"/>
      <c r="BJ494" s="547"/>
      <c r="BK494" s="547"/>
      <c r="BL494" s="547"/>
      <c r="BM494" s="547"/>
      <c r="BN494" s="547"/>
      <c r="BO494" s="547"/>
      <c r="BP494" s="547"/>
      <c r="BQ494" s="547"/>
      <c r="BR494" s="547"/>
      <c r="BS494" s="547"/>
      <c r="BT494" s="547"/>
      <c r="BU494" s="547"/>
      <c r="BV494" s="547"/>
      <c r="BW494" s="547"/>
      <c r="BX494" s="547"/>
      <c r="BY494" s="547"/>
      <c r="BZ494" s="547"/>
      <c r="CA494" s="547"/>
      <c r="CB494" s="547"/>
      <c r="CC494" s="547"/>
    </row>
    <row r="495" spans="1:81">
      <c r="A495" s="547"/>
      <c r="B495" s="547"/>
      <c r="C495" s="547"/>
      <c r="D495" s="547"/>
      <c r="E495" s="547"/>
      <c r="F495" s="547"/>
      <c r="G495" s="547"/>
      <c r="H495" s="547"/>
      <c r="I495" s="547"/>
      <c r="J495" s="547"/>
      <c r="K495" s="547"/>
      <c r="L495" s="547"/>
      <c r="M495" s="547"/>
      <c r="N495" s="547"/>
      <c r="O495" s="547"/>
      <c r="P495" s="547"/>
      <c r="Q495" s="547"/>
      <c r="R495" s="547"/>
      <c r="S495" s="547"/>
      <c r="T495" s="547"/>
      <c r="U495" s="547"/>
      <c r="V495" s="547"/>
      <c r="W495" s="547"/>
      <c r="X495" s="547"/>
      <c r="Y495" s="547"/>
      <c r="Z495" s="547"/>
      <c r="AA495" s="547"/>
      <c r="AB495" s="547"/>
      <c r="AC495" s="547"/>
      <c r="AD495" s="547"/>
      <c r="AE495" s="547"/>
      <c r="AF495" s="547"/>
      <c r="AG495" s="547"/>
      <c r="AH495" s="547"/>
      <c r="AI495" s="547"/>
      <c r="AJ495" s="547"/>
      <c r="AK495" s="547"/>
      <c r="AL495" s="547"/>
      <c r="AM495" s="547"/>
      <c r="AN495" s="547"/>
      <c r="AO495" s="547"/>
      <c r="AP495" s="547"/>
      <c r="AQ495" s="547"/>
      <c r="AR495" s="547"/>
      <c r="AS495" s="547"/>
      <c r="AT495" s="547"/>
      <c r="AU495" s="547"/>
      <c r="AV495" s="547"/>
      <c r="AW495" s="547"/>
      <c r="AX495" s="547"/>
      <c r="AY495" s="547"/>
      <c r="AZ495" s="547"/>
      <c r="BA495" s="547"/>
      <c r="BB495" s="547"/>
      <c r="BC495" s="547"/>
      <c r="BD495" s="547"/>
      <c r="BE495" s="547"/>
      <c r="BF495" s="547"/>
      <c r="BG495" s="547"/>
      <c r="BH495" s="547"/>
      <c r="BI495" s="547"/>
      <c r="BJ495" s="547"/>
      <c r="BK495" s="547"/>
      <c r="BL495" s="547"/>
      <c r="BM495" s="547"/>
      <c r="BN495" s="547"/>
      <c r="BO495" s="547"/>
      <c r="BP495" s="547"/>
      <c r="BQ495" s="547"/>
      <c r="BR495" s="547"/>
      <c r="BS495" s="547"/>
      <c r="BT495" s="547"/>
      <c r="BU495" s="547"/>
      <c r="BV495" s="547"/>
      <c r="BW495" s="547"/>
      <c r="BX495" s="547"/>
      <c r="BY495" s="547"/>
      <c r="BZ495" s="547"/>
      <c r="CA495" s="547"/>
      <c r="CB495" s="547"/>
      <c r="CC495" s="547"/>
    </row>
    <row r="496" spans="1:81">
      <c r="A496" s="547"/>
      <c r="B496" s="547"/>
      <c r="C496" s="547"/>
      <c r="D496" s="547"/>
      <c r="E496" s="547"/>
      <c r="F496" s="547"/>
      <c r="G496" s="547"/>
      <c r="H496" s="547"/>
      <c r="I496" s="547"/>
      <c r="J496" s="547"/>
      <c r="K496" s="547"/>
      <c r="L496" s="547"/>
      <c r="M496" s="547"/>
      <c r="N496" s="547"/>
      <c r="O496" s="547"/>
      <c r="P496" s="547"/>
      <c r="Q496" s="547"/>
      <c r="R496" s="547"/>
      <c r="S496" s="547"/>
      <c r="T496" s="547"/>
      <c r="U496" s="547"/>
      <c r="V496" s="547"/>
      <c r="W496" s="547"/>
      <c r="X496" s="547"/>
      <c r="Y496" s="547"/>
      <c r="Z496" s="547"/>
      <c r="AA496" s="547"/>
      <c r="AB496" s="547"/>
      <c r="AC496" s="547"/>
      <c r="AD496" s="547"/>
      <c r="AE496" s="547"/>
      <c r="AF496" s="547"/>
      <c r="AG496" s="547"/>
      <c r="AH496" s="547"/>
      <c r="AI496" s="547"/>
      <c r="AJ496" s="547"/>
      <c r="AK496" s="547"/>
      <c r="AL496" s="547"/>
      <c r="AM496" s="547"/>
      <c r="AN496" s="547"/>
      <c r="AO496" s="547"/>
      <c r="AP496" s="547"/>
      <c r="AQ496" s="547"/>
      <c r="AR496" s="547"/>
      <c r="AS496" s="547"/>
      <c r="AT496" s="547"/>
      <c r="AU496" s="547"/>
      <c r="AV496" s="547"/>
      <c r="AW496" s="547"/>
      <c r="AX496" s="547"/>
      <c r="AY496" s="547"/>
      <c r="AZ496" s="547"/>
      <c r="BA496" s="547"/>
      <c r="BB496" s="547"/>
      <c r="BC496" s="547"/>
      <c r="BD496" s="547"/>
      <c r="BE496" s="547"/>
      <c r="BF496" s="547"/>
      <c r="BG496" s="547"/>
      <c r="BH496" s="547"/>
      <c r="BI496" s="547"/>
      <c r="BJ496" s="547"/>
      <c r="BK496" s="547"/>
      <c r="BL496" s="547"/>
      <c r="BM496" s="547"/>
      <c r="BN496" s="547"/>
      <c r="BO496" s="547"/>
      <c r="BP496" s="547"/>
      <c r="BQ496" s="547"/>
      <c r="BR496" s="547"/>
      <c r="BS496" s="547"/>
      <c r="BT496" s="547"/>
      <c r="BU496" s="547"/>
      <c r="BV496" s="547"/>
      <c r="BW496" s="547"/>
      <c r="BX496" s="547"/>
      <c r="BY496" s="547"/>
      <c r="BZ496" s="547"/>
      <c r="CA496" s="547"/>
      <c r="CB496" s="547"/>
      <c r="CC496" s="547"/>
    </row>
    <row r="497" spans="1:81">
      <c r="A497" s="547"/>
      <c r="B497" s="547"/>
      <c r="C497" s="547"/>
      <c r="D497" s="547"/>
      <c r="E497" s="547"/>
      <c r="F497" s="547"/>
      <c r="G497" s="547"/>
      <c r="H497" s="547"/>
      <c r="I497" s="547"/>
      <c r="J497" s="547"/>
      <c r="K497" s="547"/>
      <c r="L497" s="547"/>
      <c r="M497" s="547"/>
      <c r="N497" s="547"/>
      <c r="O497" s="547"/>
      <c r="P497" s="547"/>
      <c r="Q497" s="547"/>
      <c r="R497" s="547"/>
      <c r="S497" s="547"/>
      <c r="T497" s="547"/>
      <c r="U497" s="547"/>
      <c r="V497" s="547"/>
      <c r="W497" s="547"/>
      <c r="X497" s="547"/>
      <c r="Y497" s="547"/>
      <c r="Z497" s="547"/>
      <c r="AA497" s="547"/>
      <c r="AB497" s="547"/>
      <c r="AC497" s="547"/>
      <c r="AD497" s="547"/>
      <c r="AE497" s="547"/>
      <c r="AF497" s="547"/>
      <c r="AG497" s="547"/>
      <c r="AH497" s="547"/>
      <c r="AI497" s="547"/>
      <c r="AJ497" s="547"/>
      <c r="AK497" s="547"/>
      <c r="AL497" s="547"/>
      <c r="AM497" s="547"/>
      <c r="AN497" s="547"/>
      <c r="AO497" s="547"/>
      <c r="AP497" s="547"/>
      <c r="AQ497" s="547"/>
      <c r="AR497" s="547"/>
      <c r="AS497" s="547"/>
      <c r="AT497" s="547"/>
      <c r="AU497" s="547"/>
      <c r="AV497" s="547"/>
      <c r="AW497" s="547"/>
      <c r="AX497" s="547"/>
      <c r="AY497" s="547"/>
      <c r="AZ497" s="547"/>
      <c r="BA497" s="547"/>
      <c r="BB497" s="547"/>
      <c r="BC497" s="547"/>
      <c r="BD497" s="547"/>
      <c r="BE497" s="547"/>
      <c r="BF497" s="547"/>
      <c r="BG497" s="547"/>
      <c r="BH497" s="547"/>
      <c r="BI497" s="547"/>
      <c r="BJ497" s="547"/>
      <c r="BK497" s="547"/>
      <c r="BL497" s="547"/>
      <c r="BM497" s="547"/>
      <c r="BN497" s="547"/>
      <c r="BO497" s="547"/>
      <c r="BP497" s="547"/>
      <c r="BQ497" s="547"/>
      <c r="BR497" s="547"/>
      <c r="BS497" s="547"/>
      <c r="BT497" s="547"/>
      <c r="BU497" s="547"/>
      <c r="BV497" s="547"/>
      <c r="BW497" s="547"/>
      <c r="BX497" s="547"/>
      <c r="BY497" s="547"/>
      <c r="BZ497" s="547"/>
      <c r="CA497" s="547"/>
      <c r="CB497" s="547"/>
      <c r="CC497" s="547"/>
    </row>
    <row r="498" spans="1:81">
      <c r="A498" s="547"/>
      <c r="B498" s="547"/>
      <c r="C498" s="547"/>
      <c r="D498" s="547"/>
      <c r="E498" s="547"/>
      <c r="F498" s="547"/>
      <c r="G498" s="547"/>
      <c r="H498" s="547"/>
      <c r="I498" s="547"/>
      <c r="J498" s="547"/>
      <c r="K498" s="547"/>
      <c r="L498" s="547"/>
      <c r="M498" s="547"/>
      <c r="N498" s="547"/>
      <c r="O498" s="547"/>
      <c r="P498" s="547"/>
      <c r="Q498" s="547"/>
      <c r="R498" s="547"/>
      <c r="S498" s="547"/>
      <c r="T498" s="547"/>
      <c r="U498" s="547"/>
      <c r="V498" s="547"/>
      <c r="W498" s="547"/>
      <c r="X498" s="547"/>
      <c r="Y498" s="547"/>
      <c r="Z498" s="547"/>
      <c r="AA498" s="547"/>
      <c r="AB498" s="547"/>
      <c r="AC498" s="547"/>
      <c r="AD498" s="547"/>
      <c r="AE498" s="547"/>
      <c r="AF498" s="547"/>
      <c r="AG498" s="547"/>
      <c r="AH498" s="547"/>
      <c r="AI498" s="547"/>
      <c r="AJ498" s="547"/>
      <c r="AK498" s="547"/>
      <c r="AL498" s="547"/>
      <c r="AM498" s="547"/>
      <c r="AN498" s="547"/>
      <c r="AO498" s="547"/>
      <c r="AP498" s="547"/>
      <c r="AQ498" s="547"/>
      <c r="AR498" s="547"/>
      <c r="AS498" s="547"/>
      <c r="AT498" s="547"/>
      <c r="AU498" s="547"/>
      <c r="AV498" s="547"/>
      <c r="AW498" s="547"/>
      <c r="AX498" s="547"/>
      <c r="AY498" s="547"/>
      <c r="AZ498" s="547"/>
      <c r="BA498" s="547"/>
      <c r="BB498" s="547"/>
      <c r="BC498" s="547"/>
      <c r="BD498" s="547"/>
      <c r="BE498" s="547"/>
      <c r="BF498" s="547"/>
      <c r="BG498" s="547"/>
      <c r="BH498" s="547"/>
      <c r="BI498" s="547"/>
      <c r="BJ498" s="547"/>
      <c r="BK498" s="547"/>
      <c r="BL498" s="547"/>
      <c r="BM498" s="547"/>
      <c r="BN498" s="547"/>
      <c r="BO498" s="547"/>
      <c r="BP498" s="547"/>
      <c r="BQ498" s="547"/>
      <c r="BR498" s="547"/>
      <c r="BS498" s="547"/>
      <c r="BT498" s="547"/>
      <c r="BU498" s="547"/>
      <c r="BV498" s="547"/>
      <c r="BW498" s="547"/>
      <c r="BX498" s="547"/>
      <c r="BY498" s="547"/>
      <c r="BZ498" s="547"/>
      <c r="CA498" s="547"/>
      <c r="CB498" s="547"/>
      <c r="CC498" s="547"/>
    </row>
    <row r="499" spans="1:81">
      <c r="A499" s="547"/>
      <c r="B499" s="547"/>
      <c r="C499" s="547"/>
      <c r="D499" s="547"/>
      <c r="E499" s="547"/>
      <c r="F499" s="547"/>
      <c r="G499" s="547"/>
      <c r="H499" s="547"/>
      <c r="I499" s="547"/>
      <c r="J499" s="547"/>
      <c r="K499" s="547"/>
      <c r="L499" s="547"/>
      <c r="M499" s="547"/>
      <c r="N499" s="547"/>
      <c r="O499" s="547"/>
      <c r="P499" s="547"/>
      <c r="Q499" s="547"/>
      <c r="R499" s="547"/>
      <c r="S499" s="547"/>
      <c r="T499" s="547"/>
      <c r="U499" s="547"/>
      <c r="V499" s="547"/>
      <c r="W499" s="547"/>
      <c r="X499" s="547"/>
      <c r="Y499" s="547"/>
      <c r="Z499" s="547"/>
      <c r="AA499" s="547"/>
      <c r="AB499" s="547"/>
      <c r="AC499" s="547"/>
      <c r="AD499" s="547"/>
      <c r="AE499" s="547"/>
      <c r="AF499" s="547"/>
      <c r="AG499" s="547"/>
      <c r="AH499" s="547"/>
      <c r="AI499" s="547"/>
      <c r="AJ499" s="547"/>
      <c r="AK499" s="547"/>
      <c r="AL499" s="547"/>
      <c r="AM499" s="547"/>
      <c r="AN499" s="547"/>
      <c r="AO499" s="547"/>
      <c r="AP499" s="547"/>
      <c r="AQ499" s="547"/>
      <c r="AR499" s="547"/>
      <c r="AS499" s="547"/>
      <c r="AT499" s="547"/>
      <c r="AU499" s="547"/>
      <c r="AV499" s="547"/>
      <c r="AW499" s="547"/>
      <c r="AX499" s="547"/>
      <c r="AY499" s="547"/>
      <c r="AZ499" s="547"/>
      <c r="BA499" s="547"/>
      <c r="BB499" s="547"/>
      <c r="BC499" s="547"/>
      <c r="BD499" s="547"/>
      <c r="BE499" s="547"/>
      <c r="BF499" s="547"/>
      <c r="BG499" s="547"/>
      <c r="BH499" s="547"/>
      <c r="BI499" s="547"/>
      <c r="BJ499" s="547"/>
      <c r="BK499" s="547"/>
      <c r="BL499" s="547"/>
      <c r="BM499" s="547"/>
      <c r="BN499" s="547"/>
      <c r="BO499" s="547"/>
      <c r="BP499" s="547"/>
      <c r="BQ499" s="547"/>
      <c r="BR499" s="547"/>
      <c r="BS499" s="547"/>
      <c r="BT499" s="547"/>
      <c r="BU499" s="547"/>
      <c r="BV499" s="547"/>
      <c r="BW499" s="547"/>
      <c r="BX499" s="547"/>
      <c r="BY499" s="547"/>
      <c r="BZ499" s="547"/>
      <c r="CA499" s="547"/>
      <c r="CB499" s="547"/>
      <c r="CC499" s="547"/>
    </row>
    <row r="500" spans="1:81">
      <c r="A500" s="547"/>
      <c r="B500" s="547"/>
      <c r="C500" s="547"/>
      <c r="D500" s="547"/>
      <c r="E500" s="547"/>
      <c r="F500" s="547"/>
      <c r="G500" s="547"/>
      <c r="H500" s="547"/>
      <c r="I500" s="547"/>
      <c r="J500" s="547"/>
      <c r="K500" s="547"/>
      <c r="L500" s="547"/>
      <c r="M500" s="547"/>
      <c r="N500" s="547"/>
      <c r="O500" s="547"/>
      <c r="P500" s="547"/>
      <c r="Q500" s="547"/>
      <c r="R500" s="547"/>
      <c r="S500" s="547"/>
      <c r="T500" s="547"/>
      <c r="U500" s="547"/>
      <c r="V500" s="547"/>
      <c r="W500" s="547"/>
      <c r="X500" s="547"/>
      <c r="Y500" s="547"/>
      <c r="Z500" s="547"/>
      <c r="AA500" s="547"/>
      <c r="AB500" s="547"/>
      <c r="AC500" s="547"/>
      <c r="AD500" s="547"/>
      <c r="AE500" s="547"/>
      <c r="AF500" s="547"/>
      <c r="AG500" s="547"/>
      <c r="AH500" s="547"/>
      <c r="AI500" s="547"/>
      <c r="AJ500" s="547"/>
      <c r="AK500" s="547"/>
      <c r="AL500" s="547"/>
      <c r="AM500" s="547"/>
      <c r="AN500" s="547"/>
      <c r="AO500" s="547"/>
      <c r="AP500" s="547"/>
      <c r="AQ500" s="547"/>
      <c r="AR500" s="547"/>
      <c r="AS500" s="547"/>
      <c r="AT500" s="547"/>
      <c r="AU500" s="547"/>
      <c r="AV500" s="547"/>
      <c r="AW500" s="547"/>
      <c r="AX500" s="547"/>
      <c r="AY500" s="547"/>
      <c r="AZ500" s="547"/>
      <c r="BA500" s="547"/>
      <c r="BB500" s="547"/>
      <c r="BC500" s="547"/>
      <c r="BD500" s="547"/>
      <c r="BE500" s="547"/>
      <c r="BF500" s="547"/>
      <c r="BG500" s="547"/>
      <c r="BH500" s="547"/>
      <c r="BI500" s="547"/>
      <c r="BJ500" s="547"/>
      <c r="BK500" s="547"/>
      <c r="BL500" s="547"/>
      <c r="BM500" s="547"/>
      <c r="BN500" s="547"/>
      <c r="BO500" s="547"/>
      <c r="BP500" s="547"/>
      <c r="BQ500" s="547"/>
      <c r="BR500" s="547"/>
      <c r="BS500" s="547"/>
      <c r="BT500" s="547"/>
      <c r="BU500" s="547"/>
      <c r="BV500" s="547"/>
      <c r="BW500" s="547"/>
      <c r="BX500" s="547"/>
      <c r="BY500" s="547"/>
      <c r="BZ500" s="547"/>
      <c r="CA500" s="547"/>
      <c r="CB500" s="547"/>
      <c r="CC500" s="547"/>
    </row>
    <row r="501" spans="1:81">
      <c r="A501" s="547"/>
      <c r="B501" s="547"/>
      <c r="C501" s="547"/>
      <c r="D501" s="547"/>
      <c r="E501" s="547"/>
      <c r="F501" s="547"/>
      <c r="G501" s="547"/>
      <c r="H501" s="547"/>
      <c r="I501" s="547"/>
      <c r="J501" s="547"/>
      <c r="K501" s="547"/>
      <c r="L501" s="547"/>
      <c r="M501" s="547"/>
      <c r="N501" s="547"/>
      <c r="O501" s="547"/>
      <c r="P501" s="547"/>
      <c r="Q501" s="547"/>
      <c r="R501" s="547"/>
      <c r="S501" s="547"/>
      <c r="T501" s="547"/>
      <c r="U501" s="547"/>
      <c r="V501" s="547"/>
      <c r="W501" s="547"/>
      <c r="X501" s="547"/>
      <c r="Y501" s="547"/>
      <c r="Z501" s="547"/>
      <c r="AA501" s="547"/>
      <c r="AB501" s="547"/>
      <c r="AC501" s="547"/>
      <c r="AD501" s="547"/>
      <c r="AE501" s="547"/>
      <c r="AF501" s="547"/>
      <c r="AG501" s="547"/>
      <c r="AH501" s="547"/>
      <c r="AI501" s="547"/>
      <c r="AJ501" s="547"/>
      <c r="AK501" s="547"/>
      <c r="AL501" s="547"/>
      <c r="AM501" s="547"/>
      <c r="AN501" s="547"/>
      <c r="AO501" s="547"/>
      <c r="AP501" s="547"/>
      <c r="AQ501" s="547"/>
      <c r="AR501" s="547"/>
      <c r="AS501" s="547"/>
      <c r="AT501" s="547"/>
      <c r="AU501" s="547"/>
      <c r="AV501" s="547"/>
      <c r="AW501" s="547"/>
      <c r="AX501" s="547"/>
      <c r="AY501" s="547"/>
      <c r="AZ501" s="547"/>
      <c r="BA501" s="547"/>
      <c r="BB501" s="547"/>
      <c r="BC501" s="547"/>
      <c r="BD501" s="547"/>
      <c r="BE501" s="547"/>
      <c r="BF501" s="547"/>
      <c r="BG501" s="547"/>
      <c r="BH501" s="547"/>
      <c r="BI501" s="547"/>
      <c r="BJ501" s="547"/>
      <c r="BK501" s="547"/>
      <c r="BL501" s="547"/>
      <c r="BM501" s="547"/>
      <c r="BN501" s="547"/>
      <c r="BO501" s="547"/>
      <c r="BP501" s="547"/>
      <c r="BQ501" s="547"/>
      <c r="BR501" s="547"/>
      <c r="BS501" s="547"/>
      <c r="BT501" s="547"/>
      <c r="BU501" s="547"/>
      <c r="BV501" s="547"/>
      <c r="BW501" s="547"/>
      <c r="BX501" s="547"/>
      <c r="BY501" s="547"/>
      <c r="BZ501" s="547"/>
      <c r="CA501" s="547"/>
      <c r="CB501" s="547"/>
      <c r="CC501" s="547"/>
    </row>
    <row r="502" spans="1:81">
      <c r="A502" s="547"/>
      <c r="B502" s="547"/>
      <c r="C502" s="547"/>
      <c r="D502" s="547"/>
      <c r="E502" s="547"/>
      <c r="F502" s="547"/>
      <c r="G502" s="547"/>
      <c r="H502" s="547"/>
      <c r="I502" s="547"/>
      <c r="J502" s="547"/>
      <c r="K502" s="547"/>
      <c r="L502" s="547"/>
      <c r="M502" s="547"/>
      <c r="N502" s="547"/>
      <c r="O502" s="547"/>
      <c r="P502" s="547"/>
      <c r="Q502" s="547"/>
      <c r="R502" s="547"/>
      <c r="S502" s="547"/>
      <c r="T502" s="547"/>
      <c r="U502" s="547"/>
      <c r="V502" s="547"/>
      <c r="W502" s="547"/>
      <c r="X502" s="547"/>
      <c r="Y502" s="547"/>
      <c r="Z502" s="547"/>
      <c r="AA502" s="547"/>
      <c r="AB502" s="547"/>
      <c r="AC502" s="547"/>
      <c r="AD502" s="547"/>
      <c r="AE502" s="547"/>
      <c r="AF502" s="547"/>
      <c r="AG502" s="547"/>
      <c r="AH502" s="547"/>
      <c r="AI502" s="547"/>
      <c r="AJ502" s="547"/>
      <c r="AK502" s="547"/>
      <c r="AL502" s="547"/>
      <c r="AM502" s="547"/>
      <c r="AN502" s="547"/>
      <c r="AO502" s="547"/>
      <c r="AP502" s="547"/>
      <c r="AQ502" s="547"/>
      <c r="AR502" s="547"/>
      <c r="AS502" s="547"/>
      <c r="AT502" s="547"/>
      <c r="AU502" s="547"/>
      <c r="AV502" s="547"/>
      <c r="AW502" s="547"/>
      <c r="AX502" s="547"/>
      <c r="AY502" s="547"/>
      <c r="AZ502" s="547"/>
      <c r="BA502" s="547"/>
      <c r="BB502" s="547"/>
      <c r="BC502" s="547"/>
      <c r="BD502" s="547"/>
      <c r="BE502" s="547"/>
      <c r="BF502" s="547"/>
      <c r="BG502" s="547"/>
      <c r="BH502" s="547"/>
      <c r="BI502" s="547"/>
      <c r="BJ502" s="547"/>
      <c r="BK502" s="547"/>
      <c r="BL502" s="547"/>
      <c r="BM502" s="547"/>
      <c r="BN502" s="547"/>
      <c r="BO502" s="547"/>
      <c r="BP502" s="547"/>
      <c r="BQ502" s="547"/>
      <c r="BR502" s="547"/>
      <c r="BS502" s="547"/>
      <c r="BT502" s="547"/>
      <c r="BU502" s="547"/>
      <c r="BV502" s="547"/>
      <c r="BW502" s="547"/>
      <c r="BX502" s="547"/>
      <c r="BY502" s="547"/>
      <c r="BZ502" s="547"/>
      <c r="CA502" s="547"/>
      <c r="CB502" s="547"/>
      <c r="CC502" s="547"/>
    </row>
    <row r="503" spans="1:81">
      <c r="A503" s="547"/>
      <c r="B503" s="547"/>
      <c r="C503" s="547"/>
      <c r="D503" s="547"/>
      <c r="E503" s="547"/>
      <c r="F503" s="547"/>
      <c r="G503" s="547"/>
      <c r="H503" s="547"/>
      <c r="I503" s="547"/>
      <c r="J503" s="547"/>
      <c r="K503" s="547"/>
      <c r="L503" s="547"/>
      <c r="M503" s="547"/>
      <c r="N503" s="547"/>
      <c r="O503" s="547"/>
      <c r="P503" s="547"/>
      <c r="Q503" s="547"/>
      <c r="R503" s="547"/>
      <c r="S503" s="547"/>
      <c r="T503" s="547"/>
      <c r="U503" s="547"/>
      <c r="V503" s="547"/>
      <c r="W503" s="547"/>
      <c r="X503" s="547"/>
      <c r="Y503" s="547"/>
      <c r="Z503" s="547"/>
      <c r="AA503" s="547"/>
      <c r="AB503" s="547"/>
      <c r="AC503" s="547"/>
      <c r="AD503" s="547"/>
      <c r="AE503" s="547"/>
      <c r="AF503" s="547"/>
      <c r="AG503" s="547"/>
      <c r="AH503" s="547"/>
      <c r="AI503" s="547"/>
      <c r="AJ503" s="547"/>
      <c r="AK503" s="547"/>
      <c r="AL503" s="547"/>
      <c r="AM503" s="547"/>
      <c r="AN503" s="547"/>
      <c r="AO503" s="547"/>
      <c r="AP503" s="547"/>
      <c r="AQ503" s="547"/>
      <c r="AR503" s="547"/>
      <c r="AS503" s="547"/>
      <c r="AT503" s="547"/>
      <c r="AU503" s="547"/>
      <c r="AV503" s="547"/>
      <c r="AW503" s="547"/>
      <c r="AX503" s="547"/>
      <c r="AY503" s="547"/>
      <c r="AZ503" s="547"/>
      <c r="BA503" s="547"/>
      <c r="BB503" s="547"/>
      <c r="BC503" s="547"/>
      <c r="BD503" s="547"/>
      <c r="BE503" s="547"/>
      <c r="BF503" s="547"/>
      <c r="BG503" s="547"/>
      <c r="BH503" s="547"/>
      <c r="BI503" s="547"/>
      <c r="BJ503" s="547"/>
      <c r="BK503" s="547"/>
      <c r="BL503" s="547"/>
      <c r="BM503" s="547"/>
      <c r="BN503" s="547"/>
      <c r="BO503" s="547"/>
      <c r="BP503" s="547"/>
      <c r="BQ503" s="547"/>
      <c r="BR503" s="547"/>
      <c r="BS503" s="547"/>
      <c r="BT503" s="547"/>
      <c r="BU503" s="547"/>
      <c r="BV503" s="547"/>
      <c r="BW503" s="547"/>
      <c r="BX503" s="547"/>
      <c r="BY503" s="547"/>
      <c r="BZ503" s="547"/>
      <c r="CA503" s="547"/>
      <c r="CB503" s="547"/>
      <c r="CC503" s="547"/>
    </row>
    <row r="504" spans="1:81">
      <c r="A504" s="547"/>
      <c r="B504" s="547"/>
      <c r="C504" s="547"/>
      <c r="D504" s="547"/>
      <c r="E504" s="547"/>
      <c r="F504" s="547"/>
      <c r="G504" s="547"/>
      <c r="H504" s="547"/>
      <c r="I504" s="547"/>
      <c r="J504" s="547"/>
      <c r="K504" s="547"/>
      <c r="L504" s="547"/>
      <c r="M504" s="547"/>
      <c r="N504" s="547"/>
      <c r="O504" s="547"/>
      <c r="P504" s="547"/>
      <c r="Q504" s="547"/>
      <c r="R504" s="547"/>
      <c r="S504" s="547"/>
      <c r="T504" s="547"/>
      <c r="U504" s="547"/>
      <c r="V504" s="547"/>
      <c r="W504" s="547"/>
      <c r="X504" s="547"/>
      <c r="Y504" s="547"/>
      <c r="Z504" s="547"/>
      <c r="AA504" s="547"/>
      <c r="AB504" s="547"/>
      <c r="AC504" s="547"/>
      <c r="AD504" s="547"/>
      <c r="AE504" s="547"/>
      <c r="AF504" s="547"/>
      <c r="AG504" s="547"/>
      <c r="AH504" s="547"/>
      <c r="AI504" s="547"/>
      <c r="AJ504" s="547"/>
      <c r="AK504" s="547"/>
      <c r="AL504" s="547"/>
      <c r="AM504" s="547"/>
      <c r="AN504" s="547"/>
      <c r="AO504" s="547"/>
      <c r="AP504" s="547"/>
      <c r="AQ504" s="547"/>
      <c r="AR504" s="547"/>
      <c r="AS504" s="547"/>
      <c r="AT504" s="547"/>
      <c r="AU504" s="547"/>
      <c r="AV504" s="547"/>
      <c r="AW504" s="547"/>
      <c r="AX504" s="547"/>
      <c r="AY504" s="547"/>
      <c r="AZ504" s="547"/>
      <c r="BA504" s="547"/>
      <c r="BB504" s="547"/>
      <c r="BC504" s="547"/>
      <c r="BD504" s="547"/>
      <c r="BE504" s="547"/>
      <c r="BF504" s="547"/>
      <c r="BG504" s="547"/>
      <c r="BH504" s="547"/>
      <c r="BI504" s="547"/>
      <c r="BJ504" s="547"/>
      <c r="BK504" s="547"/>
      <c r="BL504" s="547"/>
      <c r="BM504" s="547"/>
      <c r="BN504" s="547"/>
      <c r="BO504" s="547"/>
      <c r="BP504" s="547"/>
      <c r="BQ504" s="547"/>
      <c r="BR504" s="547"/>
      <c r="BS504" s="547"/>
      <c r="BT504" s="547"/>
      <c r="BU504" s="547"/>
      <c r="BV504" s="547"/>
      <c r="BW504" s="547"/>
      <c r="BX504" s="547"/>
      <c r="BY504" s="547"/>
      <c r="BZ504" s="547"/>
      <c r="CA504" s="547"/>
      <c r="CB504" s="547"/>
      <c r="CC504" s="547"/>
    </row>
    <row r="505" spans="1:81">
      <c r="A505" s="547"/>
      <c r="B505" s="547"/>
      <c r="C505" s="547"/>
      <c r="D505" s="547"/>
      <c r="E505" s="547"/>
      <c r="F505" s="547"/>
      <c r="G505" s="547"/>
      <c r="H505" s="547"/>
      <c r="I505" s="547"/>
      <c r="J505" s="547"/>
      <c r="K505" s="547"/>
      <c r="L505" s="547"/>
      <c r="M505" s="547"/>
      <c r="N505" s="547"/>
      <c r="O505" s="547"/>
      <c r="P505" s="547"/>
      <c r="Q505" s="547"/>
      <c r="R505" s="547"/>
      <c r="S505" s="547"/>
      <c r="T505" s="547"/>
      <c r="U505" s="547"/>
      <c r="V505" s="547"/>
      <c r="W505" s="547"/>
      <c r="X505" s="547"/>
      <c r="Y505" s="547"/>
      <c r="Z505" s="547"/>
      <c r="AA505" s="547"/>
      <c r="AB505" s="547"/>
      <c r="AC505" s="547"/>
      <c r="AD505" s="547"/>
      <c r="AE505" s="547"/>
      <c r="AF505" s="547"/>
      <c r="AG505" s="547"/>
      <c r="AH505" s="547"/>
      <c r="AI505" s="547"/>
      <c r="AJ505" s="547"/>
      <c r="AK505" s="547"/>
      <c r="AL505" s="547"/>
      <c r="AM505" s="547"/>
      <c r="AN505" s="547"/>
      <c r="AO505" s="547"/>
      <c r="AP505" s="547"/>
      <c r="AQ505" s="547"/>
      <c r="AR505" s="547"/>
      <c r="AS505" s="547"/>
      <c r="AT505" s="547"/>
      <c r="AU505" s="547"/>
      <c r="AV505" s="547"/>
      <c r="AW505" s="547"/>
      <c r="AX505" s="547"/>
      <c r="AY505" s="547"/>
      <c r="AZ505" s="547"/>
      <c r="BA505" s="547"/>
      <c r="BB505" s="547"/>
      <c r="BC505" s="547"/>
      <c r="BD505" s="547"/>
      <c r="BE505" s="547"/>
      <c r="BF505" s="547"/>
      <c r="BG505" s="547"/>
      <c r="BH505" s="547"/>
      <c r="BI505" s="547"/>
      <c r="BJ505" s="547"/>
      <c r="BK505" s="547"/>
      <c r="BL505" s="547"/>
      <c r="BM505" s="547"/>
      <c r="BN505" s="547"/>
      <c r="BO505" s="547"/>
      <c r="BP505" s="547"/>
      <c r="BQ505" s="547"/>
      <c r="BR505" s="547"/>
      <c r="BS505" s="547"/>
      <c r="BT505" s="547"/>
      <c r="BU505" s="547"/>
      <c r="BV505" s="547"/>
      <c r="BW505" s="547"/>
      <c r="BX505" s="547"/>
      <c r="BY505" s="547"/>
      <c r="BZ505" s="547"/>
      <c r="CA505" s="547"/>
      <c r="CB505" s="547"/>
      <c r="CC505" s="547"/>
    </row>
    <row r="506" spans="1:81">
      <c r="A506" s="547"/>
      <c r="B506" s="547"/>
      <c r="C506" s="547"/>
      <c r="D506" s="547"/>
      <c r="E506" s="547"/>
      <c r="F506" s="547"/>
      <c r="G506" s="547"/>
      <c r="H506" s="547"/>
      <c r="I506" s="547"/>
      <c r="J506" s="547"/>
      <c r="K506" s="547"/>
      <c r="L506" s="547"/>
      <c r="M506" s="547"/>
      <c r="N506" s="547"/>
      <c r="O506" s="547"/>
      <c r="P506" s="547"/>
      <c r="Q506" s="547"/>
      <c r="R506" s="547"/>
      <c r="S506" s="547"/>
      <c r="T506" s="547"/>
      <c r="U506" s="547"/>
      <c r="V506" s="547"/>
      <c r="W506" s="547"/>
      <c r="X506" s="547"/>
      <c r="Y506" s="547"/>
      <c r="Z506" s="547"/>
      <c r="AA506" s="547"/>
      <c r="AB506" s="547"/>
      <c r="AC506" s="547"/>
      <c r="AD506" s="547"/>
      <c r="AE506" s="547"/>
      <c r="AF506" s="547"/>
      <c r="AG506" s="547"/>
      <c r="AH506" s="547"/>
      <c r="AI506" s="547"/>
      <c r="AJ506" s="547"/>
      <c r="AK506" s="547"/>
      <c r="AL506" s="547"/>
      <c r="AM506" s="547"/>
      <c r="AN506" s="547"/>
      <c r="AO506" s="547"/>
      <c r="AP506" s="547"/>
      <c r="AQ506" s="547"/>
      <c r="AR506" s="547"/>
      <c r="AS506" s="547"/>
      <c r="AT506" s="547"/>
      <c r="AU506" s="547"/>
      <c r="AV506" s="547"/>
      <c r="AW506" s="547"/>
      <c r="AX506" s="547"/>
      <c r="AY506" s="547"/>
      <c r="AZ506" s="547"/>
      <c r="BA506" s="547"/>
      <c r="BB506" s="547"/>
      <c r="BC506" s="547"/>
      <c r="BD506" s="547"/>
      <c r="BE506" s="547"/>
      <c r="BF506" s="547"/>
      <c r="BG506" s="547"/>
      <c r="BH506" s="547"/>
      <c r="BI506" s="547"/>
      <c r="BJ506" s="547"/>
      <c r="BK506" s="547"/>
      <c r="BL506" s="547"/>
      <c r="BM506" s="547"/>
      <c r="BN506" s="547"/>
      <c r="BO506" s="547"/>
      <c r="BP506" s="547"/>
      <c r="BQ506" s="547"/>
      <c r="BR506" s="547"/>
      <c r="BS506" s="547"/>
      <c r="BT506" s="547"/>
      <c r="BU506" s="547"/>
      <c r="BV506" s="547"/>
      <c r="BW506" s="547"/>
      <c r="BX506" s="547"/>
      <c r="BY506" s="547"/>
      <c r="BZ506" s="547"/>
      <c r="CA506" s="547"/>
      <c r="CB506" s="547"/>
      <c r="CC506" s="547"/>
    </row>
    <row r="507" spans="1:81">
      <c r="A507" s="547"/>
      <c r="B507" s="547"/>
      <c r="C507" s="547"/>
      <c r="D507" s="547"/>
      <c r="E507" s="547"/>
      <c r="F507" s="547"/>
      <c r="G507" s="547"/>
      <c r="H507" s="547"/>
      <c r="I507" s="547"/>
      <c r="J507" s="547"/>
      <c r="K507" s="547"/>
      <c r="L507" s="547"/>
      <c r="M507" s="547"/>
      <c r="N507" s="547"/>
      <c r="O507" s="547"/>
      <c r="P507" s="547"/>
      <c r="Q507" s="547"/>
      <c r="R507" s="547"/>
      <c r="S507" s="547"/>
      <c r="T507" s="547"/>
      <c r="U507" s="547"/>
      <c r="V507" s="547"/>
      <c r="W507" s="547"/>
      <c r="X507" s="547"/>
      <c r="Y507" s="547"/>
      <c r="Z507" s="547"/>
      <c r="AA507" s="547"/>
      <c r="AB507" s="547"/>
      <c r="AC507" s="547"/>
      <c r="AD507" s="547"/>
      <c r="AE507" s="547"/>
      <c r="AF507" s="547"/>
      <c r="AG507" s="547"/>
      <c r="AH507" s="547"/>
      <c r="AI507" s="547"/>
      <c r="AJ507" s="547"/>
      <c r="AK507" s="547"/>
      <c r="AL507" s="547"/>
      <c r="AM507" s="547"/>
      <c r="AN507" s="547"/>
      <c r="AO507" s="547"/>
      <c r="AP507" s="547"/>
      <c r="AQ507" s="547"/>
      <c r="AR507" s="547"/>
      <c r="AS507" s="547"/>
      <c r="AT507" s="547"/>
      <c r="AU507" s="547"/>
      <c r="AV507" s="547"/>
      <c r="AW507" s="547"/>
      <c r="AX507" s="547"/>
      <c r="AY507" s="547"/>
      <c r="AZ507" s="547"/>
      <c r="BA507" s="547"/>
      <c r="BB507" s="547"/>
      <c r="BC507" s="547"/>
      <c r="BD507" s="547"/>
      <c r="BE507" s="547"/>
      <c r="BF507" s="547"/>
      <c r="BG507" s="547"/>
      <c r="BH507" s="547"/>
      <c r="BI507" s="547"/>
      <c r="BJ507" s="547"/>
      <c r="BK507" s="547"/>
      <c r="BL507" s="547"/>
      <c r="BM507" s="547"/>
      <c r="BN507" s="547"/>
      <c r="BO507" s="547"/>
      <c r="BP507" s="547"/>
      <c r="BQ507" s="547"/>
      <c r="BR507" s="547"/>
      <c r="BS507" s="547"/>
      <c r="BT507" s="547"/>
      <c r="BU507" s="547"/>
      <c r="BV507" s="547"/>
      <c r="BW507" s="547"/>
      <c r="BX507" s="547"/>
      <c r="BY507" s="547"/>
      <c r="BZ507" s="547"/>
      <c r="CA507" s="547"/>
      <c r="CB507" s="547"/>
      <c r="CC507" s="547"/>
    </row>
    <row r="508" spans="1:81">
      <c r="A508" s="547"/>
      <c r="B508" s="547"/>
      <c r="C508" s="547"/>
      <c r="D508" s="547"/>
      <c r="E508" s="547"/>
      <c r="F508" s="547"/>
      <c r="G508" s="547"/>
      <c r="H508" s="547"/>
      <c r="I508" s="547"/>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c r="AK508" s="547"/>
      <c r="AL508" s="547"/>
      <c r="AM508" s="547"/>
      <c r="AN508" s="547"/>
      <c r="AO508" s="547"/>
      <c r="AP508" s="547"/>
      <c r="AQ508" s="547"/>
      <c r="AR508" s="547"/>
      <c r="AS508" s="547"/>
      <c r="AT508" s="547"/>
      <c r="AU508" s="547"/>
      <c r="AV508" s="547"/>
      <c r="AW508" s="547"/>
      <c r="AX508" s="547"/>
      <c r="AY508" s="547"/>
      <c r="AZ508" s="547"/>
      <c r="BA508" s="547"/>
      <c r="BB508" s="547"/>
      <c r="BC508" s="547"/>
      <c r="BD508" s="547"/>
      <c r="BE508" s="547"/>
      <c r="BF508" s="547"/>
      <c r="BG508" s="547"/>
      <c r="BH508" s="547"/>
      <c r="BI508" s="547"/>
      <c r="BJ508" s="547"/>
      <c r="BK508" s="547"/>
      <c r="BL508" s="547"/>
      <c r="BM508" s="547"/>
      <c r="BN508" s="547"/>
      <c r="BO508" s="547"/>
      <c r="BP508" s="547"/>
      <c r="BQ508" s="547"/>
      <c r="BR508" s="547"/>
      <c r="BS508" s="547"/>
      <c r="BT508" s="547"/>
      <c r="BU508" s="547"/>
      <c r="BV508" s="547"/>
      <c r="BW508" s="547"/>
      <c r="BX508" s="547"/>
      <c r="BY508" s="547"/>
      <c r="BZ508" s="547"/>
      <c r="CA508" s="547"/>
      <c r="CB508" s="547"/>
      <c r="CC508" s="547"/>
    </row>
    <row r="509" spans="1:81">
      <c r="A509" s="547"/>
      <c r="B509" s="547"/>
      <c r="C509" s="547"/>
      <c r="D509" s="547"/>
      <c r="E509" s="547"/>
      <c r="F509" s="547"/>
      <c r="G509" s="547"/>
      <c r="H509" s="547"/>
      <c r="I509" s="547"/>
      <c r="J509" s="547"/>
      <c r="K509" s="547"/>
      <c r="L509" s="547"/>
      <c r="M509" s="547"/>
      <c r="N509" s="547"/>
      <c r="O509" s="547"/>
      <c r="P509" s="547"/>
      <c r="Q509" s="547"/>
      <c r="R509" s="547"/>
      <c r="S509" s="547"/>
      <c r="T509" s="547"/>
      <c r="U509" s="547"/>
      <c r="V509" s="547"/>
      <c r="W509" s="547"/>
      <c r="X509" s="547"/>
      <c r="Y509" s="547"/>
      <c r="Z509" s="547"/>
      <c r="AA509" s="547"/>
      <c r="AB509" s="547"/>
      <c r="AC509" s="547"/>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7"/>
      <c r="BQ509" s="547"/>
      <c r="BR509" s="547"/>
      <c r="BS509" s="547"/>
      <c r="BT509" s="547"/>
      <c r="BU509" s="547"/>
      <c r="BV509" s="547"/>
      <c r="BW509" s="547"/>
      <c r="BX509" s="547"/>
      <c r="BY509" s="547"/>
      <c r="BZ509" s="547"/>
      <c r="CA509" s="547"/>
      <c r="CB509" s="547"/>
      <c r="CC509" s="547"/>
    </row>
    <row r="510" spans="1:81">
      <c r="A510" s="547"/>
      <c r="B510" s="547"/>
      <c r="C510" s="547"/>
      <c r="D510" s="547"/>
      <c r="E510" s="547"/>
      <c r="F510" s="547"/>
      <c r="G510" s="547"/>
      <c r="H510" s="547"/>
      <c r="I510" s="547"/>
      <c r="J510" s="547"/>
      <c r="K510" s="547"/>
      <c r="L510" s="547"/>
      <c r="M510" s="547"/>
      <c r="N510" s="547"/>
      <c r="O510" s="547"/>
      <c r="P510" s="547"/>
      <c r="Q510" s="547"/>
      <c r="R510" s="547"/>
      <c r="S510" s="547"/>
      <c r="T510" s="547"/>
      <c r="U510" s="547"/>
      <c r="V510" s="547"/>
      <c r="W510" s="547"/>
      <c r="X510" s="547"/>
      <c r="Y510" s="547"/>
      <c r="Z510" s="547"/>
      <c r="AA510" s="547"/>
      <c r="AB510" s="547"/>
      <c r="AC510" s="547"/>
      <c r="AD510" s="547"/>
      <c r="AE510" s="547"/>
      <c r="AF510" s="547"/>
      <c r="AG510" s="547"/>
      <c r="AH510" s="547"/>
      <c r="AI510" s="547"/>
      <c r="AJ510" s="547"/>
      <c r="AK510" s="547"/>
      <c r="AL510" s="547"/>
      <c r="AM510" s="547"/>
      <c r="AN510" s="547"/>
      <c r="AO510" s="547"/>
      <c r="AP510" s="547"/>
      <c r="AQ510" s="547"/>
      <c r="AR510" s="547"/>
      <c r="AS510" s="547"/>
      <c r="AT510" s="547"/>
      <c r="AU510" s="547"/>
      <c r="AV510" s="547"/>
      <c r="AW510" s="547"/>
      <c r="AX510" s="547"/>
      <c r="AY510" s="547"/>
      <c r="AZ510" s="547"/>
      <c r="BA510" s="547"/>
      <c r="BB510" s="547"/>
      <c r="BC510" s="547"/>
      <c r="BD510" s="547"/>
      <c r="BE510" s="547"/>
      <c r="BF510" s="547"/>
      <c r="BG510" s="547"/>
      <c r="BH510" s="547"/>
      <c r="BI510" s="547"/>
      <c r="BJ510" s="547"/>
      <c r="BK510" s="547"/>
      <c r="BL510" s="547"/>
      <c r="BM510" s="547"/>
      <c r="BN510" s="547"/>
      <c r="BO510" s="547"/>
      <c r="BP510" s="547"/>
      <c r="BQ510" s="547"/>
      <c r="BR510" s="547"/>
      <c r="BS510" s="547"/>
      <c r="BT510" s="547"/>
      <c r="BU510" s="547"/>
      <c r="BV510" s="547"/>
      <c r="BW510" s="547"/>
      <c r="BX510" s="547"/>
      <c r="BY510" s="547"/>
      <c r="BZ510" s="547"/>
      <c r="CA510" s="547"/>
      <c r="CB510" s="547"/>
      <c r="CC510" s="547"/>
    </row>
    <row r="511" spans="1:81">
      <c r="A511" s="547"/>
      <c r="B511" s="547"/>
      <c r="C511" s="547"/>
      <c r="D511" s="547"/>
      <c r="E511" s="547"/>
      <c r="F511" s="547"/>
      <c r="G511" s="547"/>
      <c r="H511" s="547"/>
      <c r="I511" s="547"/>
      <c r="J511" s="547"/>
      <c r="K511" s="547"/>
      <c r="L511" s="547"/>
      <c r="M511" s="547"/>
      <c r="N511" s="547"/>
      <c r="O511" s="547"/>
      <c r="P511" s="547"/>
      <c r="Q511" s="547"/>
      <c r="R511" s="547"/>
      <c r="S511" s="547"/>
      <c r="T511" s="547"/>
      <c r="U511" s="547"/>
      <c r="V511" s="547"/>
      <c r="W511" s="547"/>
      <c r="X511" s="547"/>
      <c r="Y511" s="547"/>
      <c r="Z511" s="547"/>
      <c r="AA511" s="547"/>
      <c r="AB511" s="547"/>
      <c r="AC511" s="547"/>
      <c r="AD511" s="547"/>
      <c r="AE511" s="547"/>
      <c r="AF511" s="547"/>
      <c r="AG511" s="547"/>
      <c r="AH511" s="547"/>
      <c r="AI511" s="547"/>
      <c r="AJ511" s="547"/>
      <c r="AK511" s="547"/>
      <c r="AL511" s="547"/>
      <c r="AM511" s="547"/>
      <c r="AN511" s="547"/>
      <c r="AO511" s="547"/>
      <c r="AP511" s="547"/>
      <c r="AQ511" s="547"/>
      <c r="AR511" s="547"/>
      <c r="AS511" s="547"/>
      <c r="AT511" s="547"/>
      <c r="AU511" s="547"/>
      <c r="AV511" s="547"/>
      <c r="AW511" s="547"/>
      <c r="AX511" s="547"/>
      <c r="AY511" s="547"/>
      <c r="AZ511" s="547"/>
      <c r="BA511" s="547"/>
      <c r="BB511" s="547"/>
      <c r="BC511" s="547"/>
      <c r="BD511" s="547"/>
      <c r="BE511" s="547"/>
      <c r="BF511" s="547"/>
      <c r="BG511" s="547"/>
      <c r="BH511" s="547"/>
      <c r="BI511" s="547"/>
      <c r="BJ511" s="547"/>
      <c r="BK511" s="547"/>
      <c r="BL511" s="547"/>
      <c r="BM511" s="547"/>
      <c r="BN511" s="547"/>
      <c r="BO511" s="547"/>
      <c r="BP511" s="547"/>
      <c r="BQ511" s="547"/>
      <c r="BR511" s="547"/>
      <c r="BS511" s="547"/>
      <c r="BT511" s="547"/>
      <c r="BU511" s="547"/>
      <c r="BV511" s="547"/>
      <c r="BW511" s="547"/>
      <c r="BX511" s="547"/>
      <c r="BY511" s="547"/>
      <c r="BZ511" s="547"/>
      <c r="CA511" s="547"/>
      <c r="CB511" s="547"/>
      <c r="CC511" s="547"/>
    </row>
    <row r="512" spans="1:81">
      <c r="A512" s="547"/>
      <c r="B512" s="547"/>
      <c r="C512" s="547"/>
      <c r="D512" s="547"/>
      <c r="E512" s="547"/>
      <c r="F512" s="547"/>
      <c r="G512" s="547"/>
      <c r="H512" s="547"/>
      <c r="I512" s="547"/>
      <c r="J512" s="547"/>
      <c r="K512" s="547"/>
      <c r="L512" s="547"/>
      <c r="M512" s="547"/>
      <c r="N512" s="547"/>
      <c r="O512" s="547"/>
      <c r="P512" s="547"/>
      <c r="Q512" s="547"/>
      <c r="R512" s="547"/>
      <c r="S512" s="547"/>
      <c r="T512" s="547"/>
      <c r="U512" s="547"/>
      <c r="V512" s="547"/>
      <c r="W512" s="547"/>
      <c r="X512" s="547"/>
      <c r="Y512" s="547"/>
      <c r="Z512" s="547"/>
      <c r="AA512" s="547"/>
      <c r="AB512" s="547"/>
      <c r="AC512" s="547"/>
      <c r="AD512" s="547"/>
      <c r="AE512" s="547"/>
      <c r="AF512" s="547"/>
      <c r="AG512" s="547"/>
      <c r="AH512" s="547"/>
      <c r="AI512" s="547"/>
      <c r="AJ512" s="547"/>
      <c r="AK512" s="547"/>
      <c r="AL512" s="547"/>
      <c r="AM512" s="547"/>
      <c r="AN512" s="547"/>
      <c r="AO512" s="547"/>
      <c r="AP512" s="547"/>
      <c r="AQ512" s="547"/>
      <c r="AR512" s="547"/>
      <c r="AS512" s="547"/>
      <c r="AT512" s="547"/>
      <c r="AU512" s="547"/>
      <c r="AV512" s="547"/>
      <c r="AW512" s="547"/>
      <c r="AX512" s="547"/>
      <c r="AY512" s="547"/>
      <c r="AZ512" s="547"/>
      <c r="BA512" s="547"/>
      <c r="BB512" s="547"/>
      <c r="BC512" s="547"/>
      <c r="BD512" s="547"/>
      <c r="BE512" s="547"/>
      <c r="BF512" s="547"/>
      <c r="BG512" s="547"/>
      <c r="BH512" s="547"/>
      <c r="BI512" s="547"/>
      <c r="BJ512" s="547"/>
      <c r="BK512" s="547"/>
      <c r="BL512" s="547"/>
      <c r="BM512" s="547"/>
      <c r="BN512" s="547"/>
      <c r="BO512" s="547"/>
      <c r="BP512" s="547"/>
      <c r="BQ512" s="547"/>
      <c r="BR512" s="547"/>
      <c r="BS512" s="547"/>
      <c r="BT512" s="547"/>
      <c r="BU512" s="547"/>
      <c r="BV512" s="547"/>
      <c r="BW512" s="547"/>
      <c r="BX512" s="547"/>
      <c r="BY512" s="547"/>
      <c r="BZ512" s="547"/>
      <c r="CA512" s="547"/>
      <c r="CB512" s="547"/>
      <c r="CC512" s="547"/>
    </row>
    <row r="513" spans="1:81">
      <c r="A513" s="547"/>
      <c r="B513" s="547"/>
      <c r="C513" s="547"/>
      <c r="D513" s="547"/>
      <c r="E513" s="547"/>
      <c r="F513" s="547"/>
      <c r="G513" s="547"/>
      <c r="H513" s="547"/>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47"/>
      <c r="AE513" s="547"/>
      <c r="AF513" s="547"/>
      <c r="AG513" s="547"/>
      <c r="AH513" s="547"/>
      <c r="AI513" s="547"/>
      <c r="AJ513" s="547"/>
      <c r="AK513" s="547"/>
      <c r="AL513" s="547"/>
      <c r="AM513" s="547"/>
      <c r="AN513" s="547"/>
      <c r="AO513" s="547"/>
      <c r="AP513" s="547"/>
      <c r="AQ513" s="547"/>
      <c r="AR513" s="547"/>
      <c r="AS513" s="547"/>
      <c r="AT513" s="547"/>
      <c r="AU513" s="547"/>
      <c r="AV513" s="547"/>
      <c r="AW513" s="547"/>
      <c r="AX513" s="547"/>
      <c r="AY513" s="547"/>
      <c r="AZ513" s="547"/>
      <c r="BA513" s="547"/>
      <c r="BB513" s="547"/>
      <c r="BC513" s="547"/>
      <c r="BD513" s="547"/>
      <c r="BE513" s="547"/>
      <c r="BF513" s="547"/>
      <c r="BG513" s="547"/>
      <c r="BH513" s="547"/>
      <c r="BI513" s="547"/>
      <c r="BJ513" s="547"/>
      <c r="BK513" s="547"/>
      <c r="BL513" s="547"/>
      <c r="BM513" s="547"/>
      <c r="BN513" s="547"/>
      <c r="BO513" s="547"/>
      <c r="BP513" s="547"/>
      <c r="BQ513" s="547"/>
      <c r="BR513" s="547"/>
      <c r="BS513" s="547"/>
      <c r="BT513" s="547"/>
      <c r="BU513" s="547"/>
      <c r="BV513" s="547"/>
      <c r="BW513" s="547"/>
      <c r="BX513" s="547"/>
      <c r="BY513" s="547"/>
      <c r="BZ513" s="547"/>
      <c r="CA513" s="547"/>
      <c r="CB513" s="547"/>
      <c r="CC513" s="547"/>
    </row>
    <row r="514" spans="1:81">
      <c r="A514" s="547"/>
      <c r="B514" s="547"/>
      <c r="C514" s="547"/>
      <c r="D514" s="547"/>
      <c r="E514" s="547"/>
      <c r="F514" s="547"/>
      <c r="G514" s="547"/>
      <c r="H514" s="547"/>
      <c r="I514" s="547"/>
      <c r="J514" s="547"/>
      <c r="K514" s="547"/>
      <c r="L514" s="547"/>
      <c r="M514" s="547"/>
      <c r="N514" s="547"/>
      <c r="O514" s="547"/>
      <c r="P514" s="547"/>
      <c r="Q514" s="547"/>
      <c r="R514" s="547"/>
      <c r="S514" s="547"/>
      <c r="T514" s="547"/>
      <c r="U514" s="547"/>
      <c r="V514" s="547"/>
      <c r="W514" s="547"/>
      <c r="X514" s="547"/>
      <c r="Y514" s="547"/>
      <c r="Z514" s="547"/>
      <c r="AA514" s="547"/>
      <c r="AB514" s="547"/>
      <c r="AC514" s="547"/>
      <c r="AD514" s="547"/>
      <c r="AE514" s="547"/>
      <c r="AF514" s="547"/>
      <c r="AG514" s="547"/>
      <c r="AH514" s="547"/>
      <c r="AI514" s="547"/>
      <c r="AJ514" s="547"/>
      <c r="AK514" s="547"/>
      <c r="AL514" s="547"/>
      <c r="AM514" s="547"/>
      <c r="AN514" s="547"/>
      <c r="AO514" s="547"/>
      <c r="AP514" s="547"/>
      <c r="AQ514" s="547"/>
      <c r="AR514" s="547"/>
      <c r="AS514" s="547"/>
      <c r="AT514" s="547"/>
      <c r="AU514" s="547"/>
      <c r="AV514" s="547"/>
      <c r="AW514" s="547"/>
      <c r="AX514" s="547"/>
      <c r="AY514" s="547"/>
      <c r="AZ514" s="547"/>
      <c r="BA514" s="547"/>
      <c r="BB514" s="547"/>
      <c r="BC514" s="547"/>
      <c r="BD514" s="547"/>
      <c r="BE514" s="547"/>
      <c r="BF514" s="547"/>
      <c r="BG514" s="547"/>
      <c r="BH514" s="547"/>
      <c r="BI514" s="547"/>
      <c r="BJ514" s="547"/>
      <c r="BK514" s="547"/>
      <c r="BL514" s="547"/>
      <c r="BM514" s="547"/>
      <c r="BN514" s="547"/>
      <c r="BO514" s="547"/>
      <c r="BP514" s="547"/>
      <c r="BQ514" s="547"/>
      <c r="BR514" s="547"/>
      <c r="BS514" s="547"/>
      <c r="BT514" s="547"/>
      <c r="BU514" s="547"/>
      <c r="BV514" s="547"/>
      <c r="BW514" s="547"/>
      <c r="BX514" s="547"/>
      <c r="BY514" s="547"/>
      <c r="BZ514" s="547"/>
      <c r="CA514" s="547"/>
      <c r="CB514" s="547"/>
      <c r="CC514" s="547"/>
    </row>
    <row r="515" spans="1:81">
      <c r="A515" s="547"/>
      <c r="B515" s="547"/>
      <c r="C515" s="547"/>
      <c r="D515" s="547"/>
      <c r="E515" s="547"/>
      <c r="F515" s="547"/>
      <c r="G515" s="547"/>
      <c r="H515" s="547"/>
      <c r="I515" s="547"/>
      <c r="J515" s="547"/>
      <c r="K515" s="547"/>
      <c r="L515" s="547"/>
      <c r="M515" s="547"/>
      <c r="N515" s="547"/>
      <c r="O515" s="547"/>
      <c r="P515" s="547"/>
      <c r="Q515" s="547"/>
      <c r="R515" s="547"/>
      <c r="S515" s="547"/>
      <c r="T515" s="547"/>
      <c r="U515" s="547"/>
      <c r="V515" s="547"/>
      <c r="W515" s="547"/>
      <c r="X515" s="547"/>
      <c r="Y515" s="547"/>
      <c r="Z515" s="547"/>
      <c r="AA515" s="547"/>
      <c r="AB515" s="547"/>
      <c r="AC515" s="547"/>
      <c r="AD515" s="547"/>
      <c r="AE515" s="547"/>
      <c r="AF515" s="547"/>
      <c r="AG515" s="547"/>
      <c r="AH515" s="547"/>
      <c r="AI515" s="547"/>
      <c r="AJ515" s="547"/>
      <c r="AK515" s="547"/>
      <c r="AL515" s="547"/>
      <c r="AM515" s="547"/>
      <c r="AN515" s="547"/>
      <c r="AO515" s="547"/>
      <c r="AP515" s="547"/>
      <c r="AQ515" s="547"/>
      <c r="AR515" s="547"/>
      <c r="AS515" s="547"/>
      <c r="AT515" s="547"/>
      <c r="AU515" s="547"/>
      <c r="AV515" s="547"/>
      <c r="AW515" s="547"/>
      <c r="AX515" s="547"/>
      <c r="AY515" s="547"/>
      <c r="AZ515" s="547"/>
      <c r="BA515" s="547"/>
      <c r="BB515" s="547"/>
      <c r="BC515" s="547"/>
      <c r="BD515" s="547"/>
      <c r="BE515" s="547"/>
      <c r="BF515" s="547"/>
      <c r="BG515" s="547"/>
      <c r="BH515" s="547"/>
      <c r="BI515" s="547"/>
      <c r="BJ515" s="547"/>
      <c r="BK515" s="547"/>
      <c r="BL515" s="547"/>
      <c r="BM515" s="547"/>
      <c r="BN515" s="547"/>
      <c r="BO515" s="547"/>
      <c r="BP515" s="547"/>
      <c r="BQ515" s="547"/>
      <c r="BR515" s="547"/>
      <c r="BS515" s="547"/>
      <c r="BT515" s="547"/>
      <c r="BU515" s="547"/>
      <c r="BV515" s="547"/>
      <c r="BW515" s="547"/>
      <c r="BX515" s="547"/>
      <c r="BY515" s="547"/>
      <c r="BZ515" s="547"/>
      <c r="CA515" s="547"/>
      <c r="CB515" s="547"/>
      <c r="CC515" s="547"/>
    </row>
    <row r="516" spans="1:81">
      <c r="A516" s="547"/>
      <c r="B516" s="547"/>
      <c r="C516" s="547"/>
      <c r="D516" s="547"/>
      <c r="E516" s="547"/>
      <c r="F516" s="547"/>
      <c r="G516" s="547"/>
      <c r="H516" s="547"/>
      <c r="I516" s="547"/>
      <c r="J516" s="547"/>
      <c r="K516" s="547"/>
      <c r="L516" s="547"/>
      <c r="M516" s="547"/>
      <c r="N516" s="547"/>
      <c r="O516" s="547"/>
      <c r="P516" s="547"/>
      <c r="Q516" s="547"/>
      <c r="R516" s="547"/>
      <c r="S516" s="547"/>
      <c r="T516" s="547"/>
      <c r="U516" s="547"/>
      <c r="V516" s="547"/>
      <c r="W516" s="547"/>
      <c r="X516" s="547"/>
      <c r="Y516" s="547"/>
      <c r="Z516" s="547"/>
      <c r="AA516" s="547"/>
      <c r="AB516" s="547"/>
      <c r="AC516" s="547"/>
      <c r="AD516" s="547"/>
      <c r="AE516" s="547"/>
      <c r="AF516" s="547"/>
      <c r="AG516" s="547"/>
      <c r="AH516" s="547"/>
      <c r="AI516" s="547"/>
      <c r="AJ516" s="547"/>
      <c r="AK516" s="547"/>
      <c r="AL516" s="547"/>
      <c r="AM516" s="547"/>
      <c r="AN516" s="547"/>
      <c r="AO516" s="547"/>
      <c r="AP516" s="547"/>
      <c r="AQ516" s="547"/>
      <c r="AR516" s="547"/>
      <c r="AS516" s="547"/>
      <c r="AT516" s="547"/>
      <c r="AU516" s="547"/>
      <c r="AV516" s="547"/>
      <c r="AW516" s="547"/>
      <c r="AX516" s="547"/>
      <c r="AY516" s="547"/>
      <c r="AZ516" s="547"/>
      <c r="BA516" s="547"/>
      <c r="BB516" s="547"/>
      <c r="BC516" s="547"/>
      <c r="BD516" s="547"/>
      <c r="BE516" s="547"/>
      <c r="BF516" s="547"/>
      <c r="BG516" s="547"/>
      <c r="BH516" s="547"/>
      <c r="BI516" s="547"/>
      <c r="BJ516" s="547"/>
      <c r="BK516" s="547"/>
      <c r="BL516" s="547"/>
      <c r="BM516" s="547"/>
      <c r="BN516" s="547"/>
      <c r="BO516" s="547"/>
      <c r="BP516" s="547"/>
      <c r="BQ516" s="547"/>
      <c r="BR516" s="547"/>
      <c r="BS516" s="547"/>
      <c r="BT516" s="547"/>
      <c r="BU516" s="547"/>
      <c r="BV516" s="547"/>
      <c r="BW516" s="547"/>
      <c r="BX516" s="547"/>
      <c r="BY516" s="547"/>
      <c r="BZ516" s="547"/>
      <c r="CA516" s="547"/>
      <c r="CB516" s="547"/>
      <c r="CC516" s="547"/>
    </row>
    <row r="517" spans="1:81">
      <c r="A517" s="547"/>
      <c r="B517" s="547"/>
      <c r="C517" s="547"/>
      <c r="D517" s="547"/>
      <c r="E517" s="547"/>
      <c r="F517" s="547"/>
      <c r="G517" s="547"/>
      <c r="H517" s="547"/>
      <c r="I517" s="547"/>
      <c r="J517" s="547"/>
      <c r="K517" s="547"/>
      <c r="L517" s="547"/>
      <c r="M517" s="547"/>
      <c r="N517" s="547"/>
      <c r="O517" s="547"/>
      <c r="P517" s="547"/>
      <c r="Q517" s="547"/>
      <c r="R517" s="547"/>
      <c r="S517" s="547"/>
      <c r="T517" s="547"/>
      <c r="U517" s="547"/>
      <c r="V517" s="547"/>
      <c r="W517" s="547"/>
      <c r="X517" s="547"/>
      <c r="Y517" s="547"/>
      <c r="Z517" s="547"/>
      <c r="AA517" s="547"/>
      <c r="AB517" s="547"/>
      <c r="AC517" s="547"/>
      <c r="AD517" s="547"/>
      <c r="AE517" s="547"/>
      <c r="AF517" s="547"/>
      <c r="AG517" s="547"/>
      <c r="AH517" s="547"/>
      <c r="AI517" s="547"/>
      <c r="AJ517" s="547"/>
      <c r="AK517" s="547"/>
      <c r="AL517" s="547"/>
      <c r="AM517" s="547"/>
      <c r="AN517" s="547"/>
      <c r="AO517" s="547"/>
      <c r="AP517" s="547"/>
      <c r="AQ517" s="547"/>
      <c r="AR517" s="547"/>
      <c r="AS517" s="547"/>
      <c r="AT517" s="547"/>
      <c r="AU517" s="547"/>
      <c r="AV517" s="547"/>
      <c r="AW517" s="547"/>
      <c r="AX517" s="547"/>
      <c r="AY517" s="547"/>
      <c r="AZ517" s="547"/>
      <c r="BA517" s="547"/>
      <c r="BB517" s="547"/>
      <c r="BC517" s="547"/>
      <c r="BD517" s="547"/>
      <c r="BE517" s="547"/>
      <c r="BF517" s="547"/>
      <c r="BG517" s="547"/>
      <c r="BH517" s="547"/>
      <c r="BI517" s="547"/>
      <c r="BJ517" s="547"/>
      <c r="BK517" s="547"/>
      <c r="BL517" s="547"/>
      <c r="BM517" s="547"/>
      <c r="BN517" s="547"/>
      <c r="BO517" s="547"/>
      <c r="BP517" s="547"/>
      <c r="BQ517" s="547"/>
      <c r="BR517" s="547"/>
      <c r="BS517" s="547"/>
      <c r="BT517" s="547"/>
      <c r="BU517" s="547"/>
      <c r="BV517" s="547"/>
      <c r="BW517" s="547"/>
      <c r="BX517" s="547"/>
      <c r="BY517" s="547"/>
      <c r="BZ517" s="547"/>
      <c r="CA517" s="547"/>
      <c r="CB517" s="547"/>
      <c r="CC517" s="547"/>
    </row>
    <row r="518" spans="1:81">
      <c r="A518" s="547"/>
      <c r="B518" s="547"/>
      <c r="C518" s="547"/>
      <c r="D518" s="547"/>
      <c r="E518" s="547"/>
      <c r="F518" s="547"/>
      <c r="G518" s="547"/>
      <c r="H518" s="547"/>
      <c r="I518" s="547"/>
      <c r="J518" s="547"/>
      <c r="K518" s="547"/>
      <c r="L518" s="547"/>
      <c r="M518" s="547"/>
      <c r="N518" s="547"/>
      <c r="O518" s="547"/>
      <c r="P518" s="547"/>
      <c r="Q518" s="547"/>
      <c r="R518" s="547"/>
      <c r="S518" s="547"/>
      <c r="T518" s="547"/>
      <c r="U518" s="547"/>
      <c r="V518" s="547"/>
      <c r="W518" s="547"/>
      <c r="X518" s="547"/>
      <c r="Y518" s="547"/>
      <c r="Z518" s="547"/>
      <c r="AA518" s="547"/>
      <c r="AB518" s="547"/>
      <c r="AC518" s="547"/>
      <c r="AD518" s="547"/>
      <c r="AE518" s="547"/>
      <c r="AF518" s="547"/>
      <c r="AG518" s="547"/>
      <c r="AH518" s="547"/>
      <c r="AI518" s="547"/>
      <c r="AJ518" s="547"/>
      <c r="AK518" s="547"/>
      <c r="AL518" s="547"/>
      <c r="AM518" s="547"/>
      <c r="AN518" s="547"/>
      <c r="AO518" s="547"/>
      <c r="AP518" s="547"/>
      <c r="AQ518" s="547"/>
      <c r="AR518" s="547"/>
      <c r="AS518" s="547"/>
      <c r="AT518" s="547"/>
      <c r="AU518" s="547"/>
      <c r="AV518" s="547"/>
      <c r="AW518" s="547"/>
      <c r="AX518" s="547"/>
      <c r="AY518" s="547"/>
      <c r="AZ518" s="547"/>
      <c r="BA518" s="547"/>
      <c r="BB518" s="547"/>
      <c r="BC518" s="547"/>
      <c r="BD518" s="547"/>
      <c r="BE518" s="547"/>
      <c r="BF518" s="547"/>
      <c r="BG518" s="547"/>
      <c r="BH518" s="547"/>
      <c r="BI518" s="547"/>
      <c r="BJ518" s="547"/>
      <c r="BK518" s="547"/>
      <c r="BL518" s="547"/>
      <c r="BM518" s="547"/>
      <c r="BN518" s="547"/>
      <c r="BO518" s="547"/>
      <c r="BP518" s="547"/>
      <c r="BQ518" s="547"/>
      <c r="BR518" s="547"/>
      <c r="BS518" s="547"/>
      <c r="BT518" s="547"/>
      <c r="BU518" s="547"/>
      <c r="BV518" s="547"/>
      <c r="BW518" s="547"/>
      <c r="BX518" s="547"/>
      <c r="BY518" s="547"/>
      <c r="BZ518" s="547"/>
      <c r="CA518" s="547"/>
      <c r="CB518" s="547"/>
      <c r="CC518" s="547"/>
    </row>
    <row r="519" spans="1:81">
      <c r="A519" s="547"/>
      <c r="B519" s="547"/>
      <c r="C519" s="547"/>
      <c r="D519" s="547"/>
      <c r="E519" s="547"/>
      <c r="F519" s="547"/>
      <c r="G519" s="547"/>
      <c r="H519" s="547"/>
      <c r="I519" s="547"/>
      <c r="J519" s="547"/>
      <c r="K519" s="547"/>
      <c r="L519" s="547"/>
      <c r="M519" s="547"/>
      <c r="N519" s="547"/>
      <c r="O519" s="547"/>
      <c r="P519" s="547"/>
      <c r="Q519" s="547"/>
      <c r="R519" s="547"/>
      <c r="S519" s="547"/>
      <c r="T519" s="547"/>
      <c r="U519" s="547"/>
      <c r="V519" s="547"/>
      <c r="W519" s="547"/>
      <c r="X519" s="547"/>
      <c r="Y519" s="547"/>
      <c r="Z519" s="547"/>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c r="BC519" s="547"/>
      <c r="BD519" s="547"/>
      <c r="BE519" s="547"/>
      <c r="BF519" s="547"/>
      <c r="BG519" s="547"/>
      <c r="BH519" s="547"/>
      <c r="BI519" s="547"/>
      <c r="BJ519" s="547"/>
      <c r="BK519" s="547"/>
      <c r="BL519" s="547"/>
      <c r="BM519" s="547"/>
      <c r="BN519" s="547"/>
      <c r="BO519" s="547"/>
      <c r="BP519" s="547"/>
      <c r="BQ519" s="547"/>
      <c r="BR519" s="547"/>
      <c r="BS519" s="547"/>
      <c r="BT519" s="547"/>
      <c r="BU519" s="547"/>
      <c r="BV519" s="547"/>
      <c r="BW519" s="547"/>
      <c r="BX519" s="547"/>
      <c r="BY519" s="547"/>
      <c r="BZ519" s="547"/>
      <c r="CA519" s="547"/>
      <c r="CB519" s="547"/>
      <c r="CC519" s="547"/>
    </row>
    <row r="520" spans="1:81">
      <c r="A520" s="547"/>
      <c r="B520" s="547"/>
      <c r="C520" s="547"/>
      <c r="D520" s="547"/>
      <c r="E520" s="547"/>
      <c r="F520" s="547"/>
      <c r="G520" s="547"/>
      <c r="H520" s="547"/>
      <c r="I520" s="547"/>
      <c r="J520" s="547"/>
      <c r="K520" s="547"/>
      <c r="L520" s="547"/>
      <c r="M520" s="547"/>
      <c r="N520" s="547"/>
      <c r="O520" s="547"/>
      <c r="P520" s="547"/>
      <c r="Q520" s="547"/>
      <c r="R520" s="547"/>
      <c r="S520" s="547"/>
      <c r="T520" s="547"/>
      <c r="U520" s="547"/>
      <c r="V520" s="547"/>
      <c r="W520" s="547"/>
      <c r="X520" s="547"/>
      <c r="Y520" s="547"/>
      <c r="Z520" s="547"/>
      <c r="AA520" s="547"/>
      <c r="AB520" s="547"/>
      <c r="AC520" s="547"/>
      <c r="AD520" s="547"/>
      <c r="AE520" s="547"/>
      <c r="AF520" s="547"/>
      <c r="AG520" s="547"/>
      <c r="AH520" s="547"/>
      <c r="AI520" s="547"/>
      <c r="AJ520" s="547"/>
      <c r="AK520" s="547"/>
      <c r="AL520" s="547"/>
      <c r="AM520" s="547"/>
      <c r="AN520" s="547"/>
      <c r="AO520" s="547"/>
      <c r="AP520" s="547"/>
      <c r="AQ520" s="547"/>
      <c r="AR520" s="547"/>
      <c r="AS520" s="547"/>
      <c r="AT520" s="547"/>
      <c r="AU520" s="547"/>
      <c r="AV520" s="547"/>
      <c r="AW520" s="547"/>
      <c r="AX520" s="547"/>
      <c r="AY520" s="547"/>
      <c r="AZ520" s="547"/>
      <c r="BA520" s="547"/>
      <c r="BB520" s="547"/>
      <c r="BC520" s="547"/>
      <c r="BD520" s="547"/>
      <c r="BE520" s="547"/>
      <c r="BF520" s="547"/>
      <c r="BG520" s="547"/>
      <c r="BH520" s="547"/>
      <c r="BI520" s="547"/>
      <c r="BJ520" s="547"/>
      <c r="BK520" s="547"/>
      <c r="BL520" s="547"/>
      <c r="BM520" s="547"/>
      <c r="BN520" s="547"/>
      <c r="BO520" s="547"/>
      <c r="BP520" s="547"/>
      <c r="BQ520" s="547"/>
      <c r="BR520" s="547"/>
      <c r="BS520" s="547"/>
      <c r="BT520" s="547"/>
      <c r="BU520" s="547"/>
      <c r="BV520" s="547"/>
      <c r="BW520" s="547"/>
      <c r="BX520" s="547"/>
      <c r="BY520" s="547"/>
      <c r="BZ520" s="547"/>
      <c r="CA520" s="547"/>
      <c r="CB520" s="547"/>
      <c r="CC520" s="547"/>
    </row>
    <row r="521" spans="1:81">
      <c r="A521" s="547"/>
      <c r="B521" s="547"/>
      <c r="C521" s="547"/>
      <c r="D521" s="547"/>
      <c r="E521" s="547"/>
      <c r="F521" s="547"/>
      <c r="G521" s="547"/>
      <c r="H521" s="547"/>
      <c r="I521" s="547"/>
      <c r="J521" s="547"/>
      <c r="K521" s="547"/>
      <c r="L521" s="547"/>
      <c r="M521" s="547"/>
      <c r="N521" s="547"/>
      <c r="O521" s="547"/>
      <c r="P521" s="547"/>
      <c r="Q521" s="547"/>
      <c r="R521" s="547"/>
      <c r="S521" s="547"/>
      <c r="T521" s="547"/>
      <c r="U521" s="547"/>
      <c r="V521" s="547"/>
      <c r="W521" s="547"/>
      <c r="X521" s="547"/>
      <c r="Y521" s="547"/>
      <c r="Z521" s="547"/>
      <c r="AA521" s="547"/>
      <c r="AB521" s="547"/>
      <c r="AC521" s="547"/>
      <c r="AD521" s="547"/>
      <c r="AE521" s="547"/>
      <c r="AF521" s="547"/>
      <c r="AG521" s="547"/>
      <c r="AH521" s="547"/>
      <c r="AI521" s="547"/>
      <c r="AJ521" s="547"/>
      <c r="AK521" s="547"/>
      <c r="AL521" s="547"/>
      <c r="AM521" s="547"/>
      <c r="AN521" s="547"/>
      <c r="AO521" s="547"/>
      <c r="AP521" s="547"/>
      <c r="AQ521" s="547"/>
      <c r="AR521" s="547"/>
      <c r="AS521" s="547"/>
      <c r="AT521" s="547"/>
      <c r="AU521" s="547"/>
      <c r="AV521" s="547"/>
      <c r="AW521" s="547"/>
      <c r="AX521" s="547"/>
      <c r="AY521" s="547"/>
      <c r="AZ521" s="547"/>
      <c r="BA521" s="547"/>
      <c r="BB521" s="547"/>
      <c r="BC521" s="547"/>
      <c r="BD521" s="547"/>
      <c r="BE521" s="547"/>
      <c r="BF521" s="547"/>
      <c r="BG521" s="547"/>
      <c r="BH521" s="547"/>
      <c r="BI521" s="547"/>
      <c r="BJ521" s="547"/>
      <c r="BK521" s="547"/>
      <c r="BL521" s="547"/>
      <c r="BM521" s="547"/>
      <c r="BN521" s="547"/>
      <c r="BO521" s="547"/>
      <c r="BP521" s="547"/>
      <c r="BQ521" s="547"/>
      <c r="BR521" s="547"/>
      <c r="BS521" s="547"/>
      <c r="BT521" s="547"/>
      <c r="BU521" s="547"/>
      <c r="BV521" s="547"/>
      <c r="BW521" s="547"/>
      <c r="BX521" s="547"/>
      <c r="BY521" s="547"/>
      <c r="BZ521" s="547"/>
      <c r="CA521" s="547"/>
      <c r="CB521" s="547"/>
      <c r="CC521" s="547"/>
    </row>
    <row r="522" spans="1:81">
      <c r="A522" s="547"/>
      <c r="B522" s="547"/>
      <c r="C522" s="547"/>
      <c r="D522" s="547"/>
      <c r="E522" s="547"/>
      <c r="F522" s="547"/>
      <c r="G522" s="547"/>
      <c r="H522" s="547"/>
      <c r="I522" s="547"/>
      <c r="J522" s="547"/>
      <c r="K522" s="547"/>
      <c r="L522" s="547"/>
      <c r="M522" s="547"/>
      <c r="N522" s="547"/>
      <c r="O522" s="547"/>
      <c r="P522" s="547"/>
      <c r="Q522" s="547"/>
      <c r="R522" s="547"/>
      <c r="S522" s="547"/>
      <c r="T522" s="547"/>
      <c r="U522" s="547"/>
      <c r="V522" s="547"/>
      <c r="W522" s="547"/>
      <c r="X522" s="547"/>
      <c r="Y522" s="547"/>
      <c r="Z522" s="547"/>
      <c r="AA522" s="547"/>
      <c r="AB522" s="547"/>
      <c r="AC522" s="547"/>
      <c r="AD522" s="547"/>
      <c r="AE522" s="547"/>
      <c r="AF522" s="547"/>
      <c r="AG522" s="547"/>
      <c r="AH522" s="547"/>
      <c r="AI522" s="547"/>
      <c r="AJ522" s="547"/>
      <c r="AK522" s="547"/>
      <c r="AL522" s="547"/>
      <c r="AM522" s="547"/>
      <c r="AN522" s="547"/>
      <c r="AO522" s="547"/>
      <c r="AP522" s="547"/>
      <c r="AQ522" s="547"/>
      <c r="AR522" s="547"/>
      <c r="AS522" s="547"/>
      <c r="AT522" s="547"/>
      <c r="AU522" s="547"/>
      <c r="AV522" s="547"/>
      <c r="AW522" s="547"/>
      <c r="AX522" s="547"/>
      <c r="AY522" s="547"/>
      <c r="AZ522" s="547"/>
      <c r="BA522" s="547"/>
      <c r="BB522" s="547"/>
      <c r="BC522" s="547"/>
      <c r="BD522" s="547"/>
      <c r="BE522" s="547"/>
      <c r="BF522" s="547"/>
      <c r="BG522" s="547"/>
      <c r="BH522" s="547"/>
      <c r="BI522" s="547"/>
      <c r="BJ522" s="547"/>
      <c r="BK522" s="547"/>
      <c r="BL522" s="547"/>
      <c r="BM522" s="547"/>
      <c r="BN522" s="547"/>
      <c r="BO522" s="547"/>
      <c r="BP522" s="547"/>
      <c r="BQ522" s="547"/>
      <c r="BR522" s="547"/>
      <c r="BS522" s="547"/>
      <c r="BT522" s="547"/>
      <c r="BU522" s="547"/>
      <c r="BV522" s="547"/>
      <c r="BW522" s="547"/>
      <c r="BX522" s="547"/>
      <c r="BY522" s="547"/>
      <c r="BZ522" s="547"/>
      <c r="CA522" s="547"/>
      <c r="CB522" s="547"/>
      <c r="CC522" s="547"/>
    </row>
    <row r="523" spans="1:81">
      <c r="A523" s="547"/>
      <c r="B523" s="547"/>
      <c r="C523" s="547"/>
      <c r="D523" s="547"/>
      <c r="E523" s="547"/>
      <c r="F523" s="547"/>
      <c r="G523" s="547"/>
      <c r="H523" s="547"/>
      <c r="I523" s="547"/>
      <c r="J523" s="547"/>
      <c r="K523" s="547"/>
      <c r="L523" s="547"/>
      <c r="M523" s="547"/>
      <c r="N523" s="547"/>
      <c r="O523" s="547"/>
      <c r="P523" s="547"/>
      <c r="Q523" s="547"/>
      <c r="R523" s="547"/>
      <c r="S523" s="547"/>
      <c r="T523" s="547"/>
      <c r="U523" s="547"/>
      <c r="V523" s="547"/>
      <c r="W523" s="547"/>
      <c r="X523" s="547"/>
      <c r="Y523" s="547"/>
      <c r="Z523" s="547"/>
      <c r="AA523" s="547"/>
      <c r="AB523" s="547"/>
      <c r="AC523" s="547"/>
      <c r="AD523" s="547"/>
      <c r="AE523" s="547"/>
      <c r="AF523" s="547"/>
      <c r="AG523" s="547"/>
      <c r="AH523" s="547"/>
      <c r="AI523" s="547"/>
      <c r="AJ523" s="547"/>
      <c r="AK523" s="547"/>
      <c r="AL523" s="547"/>
      <c r="AM523" s="547"/>
      <c r="AN523" s="547"/>
      <c r="AO523" s="547"/>
      <c r="AP523" s="547"/>
      <c r="AQ523" s="547"/>
      <c r="AR523" s="547"/>
      <c r="AS523" s="547"/>
      <c r="AT523" s="547"/>
      <c r="AU523" s="547"/>
      <c r="AV523" s="547"/>
      <c r="AW523" s="547"/>
      <c r="AX523" s="547"/>
      <c r="AY523" s="547"/>
      <c r="AZ523" s="547"/>
      <c r="BA523" s="547"/>
      <c r="BB523" s="547"/>
      <c r="BC523" s="547"/>
      <c r="BD523" s="547"/>
      <c r="BE523" s="547"/>
      <c r="BF523" s="547"/>
      <c r="BG523" s="547"/>
      <c r="BH523" s="547"/>
      <c r="BI523" s="547"/>
      <c r="BJ523" s="547"/>
      <c r="BK523" s="547"/>
      <c r="BL523" s="547"/>
      <c r="BM523" s="547"/>
      <c r="BN523" s="547"/>
      <c r="BO523" s="547"/>
      <c r="BP523" s="547"/>
      <c r="BQ523" s="547"/>
      <c r="BR523" s="547"/>
      <c r="BS523" s="547"/>
      <c r="BT523" s="547"/>
      <c r="BU523" s="547"/>
      <c r="BV523" s="547"/>
      <c r="BW523" s="547"/>
      <c r="BX523" s="547"/>
      <c r="BY523" s="547"/>
      <c r="BZ523" s="547"/>
      <c r="CA523" s="547"/>
      <c r="CB523" s="547"/>
      <c r="CC523" s="547"/>
    </row>
    <row r="524" spans="1:81">
      <c r="A524" s="547"/>
      <c r="B524" s="547"/>
      <c r="C524" s="547"/>
      <c r="D524" s="547"/>
      <c r="E524" s="547"/>
      <c r="F524" s="547"/>
      <c r="G524" s="547"/>
      <c r="H524" s="547"/>
      <c r="I524" s="547"/>
      <c r="J524" s="547"/>
      <c r="K524" s="547"/>
      <c r="L524" s="547"/>
      <c r="M524" s="547"/>
      <c r="N524" s="547"/>
      <c r="O524" s="547"/>
      <c r="P524" s="547"/>
      <c r="Q524" s="547"/>
      <c r="R524" s="547"/>
      <c r="S524" s="547"/>
      <c r="T524" s="547"/>
      <c r="U524" s="547"/>
      <c r="V524" s="547"/>
      <c r="W524" s="547"/>
      <c r="X524" s="547"/>
      <c r="Y524" s="547"/>
      <c r="Z524" s="547"/>
      <c r="AA524" s="547"/>
      <c r="AB524" s="547"/>
      <c r="AC524" s="547"/>
      <c r="AD524" s="547"/>
      <c r="AE524" s="547"/>
      <c r="AF524" s="547"/>
      <c r="AG524" s="547"/>
      <c r="AH524" s="547"/>
      <c r="AI524" s="547"/>
      <c r="AJ524" s="547"/>
      <c r="AK524" s="547"/>
      <c r="AL524" s="547"/>
      <c r="AM524" s="547"/>
      <c r="AN524" s="547"/>
      <c r="AO524" s="547"/>
      <c r="AP524" s="547"/>
      <c r="AQ524" s="547"/>
      <c r="AR524" s="547"/>
      <c r="AS524" s="547"/>
      <c r="AT524" s="547"/>
      <c r="AU524" s="547"/>
      <c r="AV524" s="547"/>
      <c r="AW524" s="547"/>
      <c r="AX524" s="547"/>
      <c r="AY524" s="547"/>
      <c r="AZ524" s="547"/>
      <c r="BA524" s="547"/>
      <c r="BB524" s="547"/>
      <c r="BC524" s="547"/>
      <c r="BD524" s="547"/>
      <c r="BE524" s="547"/>
      <c r="BF524" s="547"/>
      <c r="BG524" s="547"/>
      <c r="BH524" s="547"/>
      <c r="BI524" s="547"/>
      <c r="BJ524" s="547"/>
      <c r="BK524" s="547"/>
      <c r="BL524" s="547"/>
      <c r="BM524" s="547"/>
      <c r="BN524" s="547"/>
      <c r="BO524" s="547"/>
      <c r="BP524" s="547"/>
      <c r="BQ524" s="547"/>
      <c r="BR524" s="547"/>
      <c r="BS524" s="547"/>
      <c r="BT524" s="547"/>
      <c r="BU524" s="547"/>
      <c r="BV524" s="547"/>
      <c r="BW524" s="547"/>
      <c r="BX524" s="547"/>
      <c r="BY524" s="547"/>
      <c r="BZ524" s="547"/>
      <c r="CA524" s="547"/>
      <c r="CB524" s="547"/>
      <c r="CC524" s="547"/>
    </row>
    <row r="525" spans="1:81">
      <c r="A525" s="547"/>
      <c r="B525" s="547"/>
      <c r="C525" s="547"/>
      <c r="D525" s="547"/>
      <c r="E525" s="547"/>
      <c r="F525" s="547"/>
      <c r="G525" s="547"/>
      <c r="H525" s="547"/>
      <c r="I525" s="547"/>
      <c r="J525" s="547"/>
      <c r="K525" s="547"/>
      <c r="L525" s="547"/>
      <c r="M525" s="547"/>
      <c r="N525" s="547"/>
      <c r="O525" s="547"/>
      <c r="P525" s="547"/>
      <c r="Q525" s="547"/>
      <c r="R525" s="547"/>
      <c r="S525" s="547"/>
      <c r="T525" s="547"/>
      <c r="U525" s="547"/>
      <c r="V525" s="547"/>
      <c r="W525" s="547"/>
      <c r="X525" s="547"/>
      <c r="Y525" s="547"/>
      <c r="Z525" s="547"/>
      <c r="AA525" s="547"/>
      <c r="AB525" s="547"/>
      <c r="AC525" s="547"/>
      <c r="AD525" s="547"/>
      <c r="AE525" s="547"/>
      <c r="AF525" s="547"/>
      <c r="AG525" s="547"/>
      <c r="AH525" s="547"/>
      <c r="AI525" s="547"/>
      <c r="AJ525" s="547"/>
      <c r="AK525" s="547"/>
      <c r="AL525" s="547"/>
      <c r="AM525" s="547"/>
      <c r="AN525" s="547"/>
      <c r="AO525" s="547"/>
      <c r="AP525" s="547"/>
      <c r="AQ525" s="547"/>
      <c r="AR525" s="547"/>
      <c r="AS525" s="547"/>
      <c r="AT525" s="547"/>
      <c r="AU525" s="547"/>
      <c r="AV525" s="547"/>
      <c r="AW525" s="547"/>
      <c r="AX525" s="547"/>
      <c r="AY525" s="547"/>
      <c r="AZ525" s="547"/>
      <c r="BA525" s="547"/>
      <c r="BB525" s="547"/>
      <c r="BC525" s="547"/>
      <c r="BD525" s="547"/>
      <c r="BE525" s="547"/>
      <c r="BF525" s="547"/>
      <c r="BG525" s="547"/>
      <c r="BH525" s="547"/>
      <c r="BI525" s="547"/>
      <c r="BJ525" s="547"/>
      <c r="BK525" s="547"/>
      <c r="BL525" s="547"/>
      <c r="BM525" s="547"/>
      <c r="BN525" s="547"/>
      <c r="BO525" s="547"/>
      <c r="BP525" s="547"/>
      <c r="BQ525" s="547"/>
      <c r="BR525" s="547"/>
      <c r="BS525" s="547"/>
      <c r="BT525" s="547"/>
      <c r="BU525" s="547"/>
      <c r="BV525" s="547"/>
      <c r="BW525" s="547"/>
      <c r="BX525" s="547"/>
      <c r="BY525" s="547"/>
      <c r="BZ525" s="547"/>
      <c r="CA525" s="547"/>
      <c r="CB525" s="547"/>
      <c r="CC525" s="547"/>
    </row>
    <row r="526" spans="1:81">
      <c r="A526" s="547"/>
      <c r="B526" s="547"/>
      <c r="C526" s="547"/>
      <c r="D526" s="547"/>
      <c r="E526" s="547"/>
      <c r="F526" s="547"/>
      <c r="G526" s="547"/>
      <c r="H526" s="547"/>
      <c r="I526" s="547"/>
      <c r="J526" s="547"/>
      <c r="K526" s="547"/>
      <c r="L526" s="547"/>
      <c r="M526" s="547"/>
      <c r="N526" s="547"/>
      <c r="O526" s="547"/>
      <c r="P526" s="547"/>
      <c r="Q526" s="547"/>
      <c r="R526" s="547"/>
      <c r="S526" s="547"/>
      <c r="T526" s="547"/>
      <c r="U526" s="547"/>
      <c r="V526" s="547"/>
      <c r="W526" s="547"/>
      <c r="X526" s="547"/>
      <c r="Y526" s="547"/>
      <c r="Z526" s="547"/>
      <c r="AA526" s="547"/>
      <c r="AB526" s="547"/>
      <c r="AC526" s="547"/>
      <c r="AD526" s="547"/>
      <c r="AE526" s="547"/>
      <c r="AF526" s="547"/>
      <c r="AG526" s="547"/>
      <c r="AH526" s="547"/>
      <c r="AI526" s="547"/>
      <c r="AJ526" s="547"/>
      <c r="AK526" s="547"/>
      <c r="AL526" s="547"/>
      <c r="AM526" s="547"/>
      <c r="AN526" s="547"/>
      <c r="AO526" s="547"/>
      <c r="AP526" s="547"/>
      <c r="AQ526" s="547"/>
      <c r="AR526" s="547"/>
      <c r="AS526" s="547"/>
      <c r="AT526" s="547"/>
      <c r="AU526" s="547"/>
      <c r="AV526" s="547"/>
      <c r="AW526" s="547"/>
      <c r="AX526" s="547"/>
      <c r="AY526" s="547"/>
      <c r="AZ526" s="547"/>
      <c r="BA526" s="547"/>
      <c r="BB526" s="547"/>
      <c r="BC526" s="547"/>
      <c r="BD526" s="547"/>
      <c r="BE526" s="547"/>
      <c r="BF526" s="547"/>
      <c r="BG526" s="547"/>
      <c r="BH526" s="547"/>
      <c r="BI526" s="547"/>
      <c r="BJ526" s="547"/>
      <c r="BK526" s="547"/>
      <c r="BL526" s="547"/>
      <c r="BM526" s="547"/>
      <c r="BN526" s="547"/>
      <c r="BO526" s="547"/>
      <c r="BP526" s="547"/>
      <c r="BQ526" s="547"/>
      <c r="BR526" s="547"/>
      <c r="BS526" s="547"/>
      <c r="BT526" s="547"/>
      <c r="BU526" s="547"/>
      <c r="BV526" s="547"/>
      <c r="BW526" s="547"/>
      <c r="BX526" s="547"/>
      <c r="BY526" s="547"/>
      <c r="BZ526" s="547"/>
      <c r="CA526" s="547"/>
      <c r="CB526" s="547"/>
      <c r="CC526" s="547"/>
    </row>
    <row r="527" spans="1:81">
      <c r="A527" s="547"/>
      <c r="B527" s="547"/>
      <c r="C527" s="547"/>
      <c r="D527" s="547"/>
      <c r="E527" s="547"/>
      <c r="F527" s="547"/>
      <c r="G527" s="547"/>
      <c r="H527" s="547"/>
      <c r="I527" s="547"/>
      <c r="J527" s="547"/>
      <c r="K527" s="547"/>
      <c r="L527" s="547"/>
      <c r="M527" s="547"/>
      <c r="N527" s="547"/>
      <c r="O527" s="547"/>
      <c r="P527" s="547"/>
      <c r="Q527" s="547"/>
      <c r="R527" s="547"/>
      <c r="S527" s="547"/>
      <c r="T527" s="547"/>
      <c r="U527" s="547"/>
      <c r="V527" s="547"/>
      <c r="W527" s="547"/>
      <c r="X527" s="547"/>
      <c r="Y527" s="547"/>
      <c r="Z527" s="547"/>
      <c r="AA527" s="547"/>
      <c r="AB527" s="547"/>
      <c r="AC527" s="547"/>
      <c r="AD527" s="547"/>
      <c r="AE527" s="547"/>
      <c r="AF527" s="547"/>
      <c r="AG527" s="547"/>
      <c r="AH527" s="547"/>
      <c r="AI527" s="547"/>
      <c r="AJ527" s="547"/>
      <c r="AK527" s="547"/>
      <c r="AL527" s="547"/>
      <c r="AM527" s="547"/>
      <c r="AN527" s="547"/>
      <c r="AO527" s="547"/>
      <c r="AP527" s="547"/>
      <c r="AQ527" s="547"/>
      <c r="AR527" s="547"/>
      <c r="AS527" s="547"/>
      <c r="AT527" s="547"/>
      <c r="AU527" s="547"/>
      <c r="AV527" s="547"/>
      <c r="AW527" s="547"/>
      <c r="AX527" s="547"/>
      <c r="AY527" s="547"/>
      <c r="AZ527" s="547"/>
      <c r="BA527" s="547"/>
      <c r="BB527" s="547"/>
      <c r="BC527" s="547"/>
      <c r="BD527" s="547"/>
      <c r="BE527" s="547"/>
      <c r="BF527" s="547"/>
      <c r="BG527" s="547"/>
      <c r="BH527" s="547"/>
      <c r="BI527" s="547"/>
      <c r="BJ527" s="547"/>
      <c r="BK527" s="547"/>
      <c r="BL527" s="547"/>
      <c r="BM527" s="547"/>
      <c r="BN527" s="547"/>
      <c r="BO527" s="547"/>
      <c r="BP527" s="547"/>
      <c r="BQ527" s="547"/>
      <c r="BR527" s="547"/>
      <c r="BS527" s="547"/>
      <c r="BT527" s="547"/>
      <c r="BU527" s="547"/>
      <c r="BV527" s="547"/>
      <c r="BW527" s="547"/>
      <c r="BX527" s="547"/>
      <c r="BY527" s="547"/>
      <c r="BZ527" s="547"/>
      <c r="CA527" s="547"/>
      <c r="CB527" s="547"/>
      <c r="CC527" s="547"/>
    </row>
    <row r="528" spans="1:81">
      <c r="A528" s="547"/>
      <c r="B528" s="547"/>
      <c r="C528" s="547"/>
      <c r="D528" s="547"/>
      <c r="E528" s="547"/>
      <c r="F528" s="547"/>
      <c r="G528" s="547"/>
      <c r="H528" s="547"/>
      <c r="I528" s="547"/>
      <c r="J528" s="547"/>
      <c r="K528" s="547"/>
      <c r="L528" s="547"/>
      <c r="M528" s="547"/>
      <c r="N528" s="547"/>
      <c r="O528" s="547"/>
      <c r="P528" s="547"/>
      <c r="Q528" s="547"/>
      <c r="R528" s="547"/>
      <c r="S528" s="547"/>
      <c r="T528" s="547"/>
      <c r="U528" s="547"/>
      <c r="V528" s="547"/>
      <c r="W528" s="547"/>
      <c r="X528" s="547"/>
      <c r="Y528" s="547"/>
      <c r="Z528" s="547"/>
      <c r="AA528" s="547"/>
      <c r="AB528" s="547"/>
      <c r="AC528" s="547"/>
      <c r="AD528" s="547"/>
      <c r="AE528" s="547"/>
      <c r="AF528" s="547"/>
      <c r="AG528" s="547"/>
      <c r="AH528" s="547"/>
      <c r="AI528" s="547"/>
      <c r="AJ528" s="547"/>
      <c r="AK528" s="547"/>
      <c r="AL528" s="547"/>
      <c r="AM528" s="547"/>
      <c r="AN528" s="547"/>
      <c r="AO528" s="547"/>
      <c r="AP528" s="547"/>
      <c r="AQ528" s="547"/>
      <c r="AR528" s="547"/>
      <c r="AS528" s="547"/>
      <c r="AT528" s="547"/>
      <c r="AU528" s="547"/>
      <c r="AV528" s="547"/>
      <c r="AW528" s="547"/>
      <c r="AX528" s="547"/>
      <c r="AY528" s="547"/>
      <c r="AZ528" s="547"/>
      <c r="BA528" s="547"/>
      <c r="BB528" s="547"/>
      <c r="BC528" s="547"/>
      <c r="BD528" s="547"/>
      <c r="BE528" s="547"/>
      <c r="BF528" s="547"/>
      <c r="BG528" s="547"/>
      <c r="BH528" s="547"/>
      <c r="BI528" s="547"/>
      <c r="BJ528" s="547"/>
      <c r="BK528" s="547"/>
      <c r="BL528" s="547"/>
      <c r="BM528" s="547"/>
      <c r="BN528" s="547"/>
      <c r="BO528" s="547"/>
      <c r="BP528" s="547"/>
      <c r="BQ528" s="547"/>
      <c r="BR528" s="547"/>
      <c r="BS528" s="547"/>
      <c r="BT528" s="547"/>
      <c r="BU528" s="547"/>
      <c r="BV528" s="547"/>
      <c r="BW528" s="547"/>
      <c r="BX528" s="547"/>
      <c r="BY528" s="547"/>
      <c r="BZ528" s="547"/>
      <c r="CA528" s="547"/>
      <c r="CB528" s="547"/>
      <c r="CC528" s="547"/>
    </row>
    <row r="529" spans="1:81">
      <c r="A529" s="547"/>
      <c r="B529" s="547"/>
      <c r="C529" s="547"/>
      <c r="D529" s="547"/>
      <c r="E529" s="547"/>
      <c r="F529" s="547"/>
      <c r="G529" s="547"/>
      <c r="H529" s="547"/>
      <c r="I529" s="547"/>
      <c r="J529" s="547"/>
      <c r="K529" s="547"/>
      <c r="L529" s="547"/>
      <c r="M529" s="547"/>
      <c r="N529" s="547"/>
      <c r="O529" s="547"/>
      <c r="P529" s="547"/>
      <c r="Q529" s="547"/>
      <c r="R529" s="547"/>
      <c r="S529" s="547"/>
      <c r="T529" s="547"/>
      <c r="U529" s="547"/>
      <c r="V529" s="547"/>
      <c r="W529" s="547"/>
      <c r="X529" s="547"/>
      <c r="Y529" s="547"/>
      <c r="Z529" s="547"/>
      <c r="AA529" s="547"/>
      <c r="AB529" s="547"/>
      <c r="AC529" s="547"/>
      <c r="AD529" s="547"/>
      <c r="AE529" s="547"/>
      <c r="AF529" s="547"/>
      <c r="AG529" s="547"/>
      <c r="AH529" s="547"/>
      <c r="AI529" s="547"/>
      <c r="AJ529" s="547"/>
      <c r="AK529" s="547"/>
      <c r="AL529" s="547"/>
      <c r="AM529" s="547"/>
      <c r="AN529" s="547"/>
      <c r="AO529" s="547"/>
      <c r="AP529" s="547"/>
      <c r="AQ529" s="547"/>
      <c r="AR529" s="547"/>
      <c r="AS529" s="547"/>
      <c r="AT529" s="547"/>
      <c r="AU529" s="547"/>
      <c r="AV529" s="547"/>
      <c r="AW529" s="547"/>
      <c r="AX529" s="547"/>
      <c r="AY529" s="547"/>
      <c r="AZ529" s="547"/>
      <c r="BA529" s="547"/>
      <c r="BB529" s="547"/>
      <c r="BC529" s="547"/>
      <c r="BD529" s="547"/>
      <c r="BE529" s="547"/>
      <c r="BF529" s="547"/>
      <c r="BG529" s="547"/>
      <c r="BH529" s="547"/>
      <c r="BI529" s="547"/>
      <c r="BJ529" s="547"/>
      <c r="BK529" s="547"/>
      <c r="BL529" s="547"/>
      <c r="BM529" s="547"/>
      <c r="BN529" s="547"/>
      <c r="BO529" s="547"/>
      <c r="BP529" s="547"/>
      <c r="BQ529" s="547"/>
      <c r="BR529" s="547"/>
      <c r="BS529" s="547"/>
      <c r="BT529" s="547"/>
      <c r="BU529" s="547"/>
      <c r="BV529" s="547"/>
      <c r="BW529" s="547"/>
      <c r="BX529" s="547"/>
      <c r="BY529" s="547"/>
      <c r="BZ529" s="547"/>
      <c r="CA529" s="547"/>
      <c r="CB529" s="547"/>
      <c r="CC529" s="547"/>
    </row>
    <row r="530" spans="1:81">
      <c r="A530" s="547"/>
      <c r="B530" s="547"/>
      <c r="C530" s="547"/>
      <c r="D530" s="547"/>
      <c r="E530" s="547"/>
      <c r="F530" s="547"/>
      <c r="G530" s="547"/>
      <c r="H530" s="547"/>
      <c r="I530" s="547"/>
      <c r="J530" s="547"/>
      <c r="K530" s="547"/>
      <c r="L530" s="547"/>
      <c r="M530" s="547"/>
      <c r="N530" s="547"/>
      <c r="O530" s="547"/>
      <c r="P530" s="547"/>
      <c r="Q530" s="547"/>
      <c r="R530" s="547"/>
      <c r="S530" s="547"/>
      <c r="T530" s="547"/>
      <c r="U530" s="547"/>
      <c r="V530" s="547"/>
      <c r="W530" s="547"/>
      <c r="X530" s="547"/>
      <c r="Y530" s="547"/>
      <c r="Z530" s="547"/>
      <c r="AA530" s="547"/>
      <c r="AB530" s="547"/>
      <c r="AC530" s="547"/>
      <c r="AD530" s="547"/>
      <c r="AE530" s="547"/>
      <c r="AF530" s="547"/>
      <c r="AG530" s="547"/>
      <c r="AH530" s="547"/>
      <c r="AI530" s="547"/>
      <c r="AJ530" s="547"/>
      <c r="AK530" s="547"/>
      <c r="AL530" s="547"/>
      <c r="AM530" s="547"/>
      <c r="AN530" s="547"/>
      <c r="AO530" s="547"/>
      <c r="AP530" s="547"/>
      <c r="AQ530" s="547"/>
      <c r="AR530" s="547"/>
      <c r="AS530" s="547"/>
      <c r="AT530" s="547"/>
      <c r="AU530" s="547"/>
      <c r="AV530" s="547"/>
      <c r="AW530" s="547"/>
      <c r="AX530" s="547"/>
      <c r="AY530" s="547"/>
      <c r="AZ530" s="547"/>
      <c r="BA530" s="547"/>
      <c r="BB530" s="547"/>
      <c r="BC530" s="547"/>
      <c r="BD530" s="547"/>
      <c r="BE530" s="547"/>
      <c r="BF530" s="547"/>
      <c r="BG530" s="547"/>
      <c r="BH530" s="547"/>
      <c r="BI530" s="547"/>
      <c r="BJ530" s="547"/>
      <c r="BK530" s="547"/>
      <c r="BL530" s="547"/>
      <c r="BM530" s="547"/>
      <c r="BN530" s="547"/>
      <c r="BO530" s="547"/>
      <c r="BP530" s="547"/>
      <c r="BQ530" s="547"/>
      <c r="BR530" s="547"/>
      <c r="BS530" s="547"/>
      <c r="BT530" s="547"/>
      <c r="BU530" s="547"/>
      <c r="BV530" s="547"/>
      <c r="BW530" s="547"/>
      <c r="BX530" s="547"/>
      <c r="BY530" s="547"/>
      <c r="BZ530" s="547"/>
      <c r="CA530" s="547"/>
      <c r="CB530" s="547"/>
      <c r="CC530" s="547"/>
    </row>
    <row r="531" spans="1:81">
      <c r="A531" s="547"/>
      <c r="B531" s="547"/>
      <c r="C531" s="547"/>
      <c r="D531" s="547"/>
      <c r="E531" s="547"/>
      <c r="F531" s="547"/>
      <c r="G531" s="547"/>
      <c r="H531" s="547"/>
      <c r="I531" s="547"/>
      <c r="J531" s="547"/>
      <c r="K531" s="547"/>
      <c r="L531" s="547"/>
      <c r="M531" s="547"/>
      <c r="N531" s="547"/>
      <c r="O531" s="547"/>
      <c r="P531" s="547"/>
      <c r="Q531" s="547"/>
      <c r="R531" s="547"/>
      <c r="S531" s="547"/>
      <c r="T531" s="547"/>
      <c r="U531" s="547"/>
      <c r="V531" s="547"/>
      <c r="W531" s="547"/>
      <c r="X531" s="547"/>
      <c r="Y531" s="547"/>
      <c r="Z531" s="547"/>
      <c r="AA531" s="547"/>
      <c r="AB531" s="547"/>
      <c r="AC531" s="547"/>
      <c r="AD531" s="547"/>
      <c r="AE531" s="547"/>
      <c r="AF531" s="547"/>
      <c r="AG531" s="547"/>
      <c r="AH531" s="547"/>
      <c r="AI531" s="547"/>
      <c r="AJ531" s="547"/>
      <c r="AK531" s="547"/>
      <c r="AL531" s="547"/>
      <c r="AM531" s="547"/>
      <c r="AN531" s="547"/>
      <c r="AO531" s="547"/>
      <c r="AP531" s="547"/>
      <c r="AQ531" s="547"/>
      <c r="AR531" s="547"/>
      <c r="AS531" s="547"/>
      <c r="AT531" s="547"/>
      <c r="AU531" s="547"/>
      <c r="AV531" s="547"/>
      <c r="AW531" s="547"/>
      <c r="AX531" s="547"/>
      <c r="AY531" s="547"/>
      <c r="AZ531" s="547"/>
      <c r="BA531" s="547"/>
      <c r="BB531" s="547"/>
      <c r="BC531" s="547"/>
      <c r="BD531" s="547"/>
      <c r="BE531" s="547"/>
      <c r="BF531" s="547"/>
      <c r="BG531" s="547"/>
      <c r="BH531" s="547"/>
      <c r="BI531" s="547"/>
      <c r="BJ531" s="547"/>
      <c r="BK531" s="547"/>
      <c r="BL531" s="547"/>
      <c r="BM531" s="547"/>
      <c r="BN531" s="547"/>
      <c r="BO531" s="547"/>
      <c r="BP531" s="547"/>
      <c r="BQ531" s="547"/>
      <c r="BR531" s="547"/>
      <c r="BS531" s="547"/>
      <c r="BT531" s="547"/>
      <c r="BU531" s="547"/>
      <c r="BV531" s="547"/>
      <c r="BW531" s="547"/>
      <c r="BX531" s="547"/>
      <c r="BY531" s="547"/>
      <c r="BZ531" s="547"/>
      <c r="CA531" s="547"/>
      <c r="CB531" s="547"/>
      <c r="CC531" s="547"/>
    </row>
    <row r="532" spans="1:81">
      <c r="A532" s="547"/>
      <c r="B532" s="547"/>
      <c r="C532" s="547"/>
      <c r="D532" s="547"/>
      <c r="E532" s="547"/>
      <c r="F532" s="547"/>
      <c r="G532" s="547"/>
      <c r="H532" s="547"/>
      <c r="I532" s="547"/>
      <c r="J532" s="547"/>
      <c r="K532" s="547"/>
      <c r="L532" s="547"/>
      <c r="M532" s="547"/>
      <c r="N532" s="547"/>
      <c r="O532" s="547"/>
      <c r="P532" s="547"/>
      <c r="Q532" s="547"/>
      <c r="R532" s="547"/>
      <c r="S532" s="547"/>
      <c r="T532" s="547"/>
      <c r="U532" s="547"/>
      <c r="V532" s="547"/>
      <c r="W532" s="547"/>
      <c r="X532" s="547"/>
      <c r="Y532" s="547"/>
      <c r="Z532" s="547"/>
      <c r="AA532" s="547"/>
      <c r="AB532" s="547"/>
      <c r="AC532" s="547"/>
      <c r="AD532" s="547"/>
      <c r="AE532" s="547"/>
      <c r="AF532" s="547"/>
      <c r="AG532" s="547"/>
      <c r="AH532" s="547"/>
      <c r="AI532" s="547"/>
      <c r="AJ532" s="547"/>
      <c r="AK532" s="547"/>
      <c r="AL532" s="547"/>
      <c r="AM532" s="547"/>
      <c r="AN532" s="547"/>
      <c r="AO532" s="547"/>
      <c r="AP532" s="547"/>
      <c r="AQ532" s="547"/>
      <c r="AR532" s="547"/>
      <c r="AS532" s="547"/>
      <c r="AT532" s="547"/>
      <c r="AU532" s="547"/>
      <c r="AV532" s="547"/>
      <c r="AW532" s="547"/>
      <c r="AX532" s="547"/>
      <c r="AY532" s="547"/>
      <c r="AZ532" s="547"/>
      <c r="BA532" s="547"/>
      <c r="BB532" s="547"/>
      <c r="BC532" s="547"/>
      <c r="BD532" s="547"/>
      <c r="BE532" s="547"/>
      <c r="BF532" s="547"/>
      <c r="BG532" s="547"/>
      <c r="BH532" s="547"/>
      <c r="BI532" s="547"/>
      <c r="BJ532" s="547"/>
      <c r="BK532" s="547"/>
      <c r="BL532" s="547"/>
      <c r="BM532" s="547"/>
      <c r="BN532" s="547"/>
      <c r="BO532" s="547"/>
      <c r="BP532" s="547"/>
      <c r="BQ532" s="547"/>
      <c r="BR532" s="547"/>
      <c r="BS532" s="547"/>
      <c r="BT532" s="547"/>
      <c r="BU532" s="547"/>
      <c r="BV532" s="547"/>
      <c r="BW532" s="547"/>
      <c r="BX532" s="547"/>
      <c r="BY532" s="547"/>
      <c r="BZ532" s="547"/>
      <c r="CA532" s="547"/>
      <c r="CB532" s="547"/>
      <c r="CC532" s="547"/>
    </row>
    <row r="533" spans="1:81">
      <c r="A533" s="547"/>
      <c r="B533" s="547"/>
      <c r="C533" s="547"/>
      <c r="D533" s="547"/>
      <c r="E533" s="547"/>
      <c r="F533" s="547"/>
      <c r="G533" s="547"/>
      <c r="H533" s="547"/>
      <c r="I533" s="547"/>
      <c r="J533" s="547"/>
      <c r="K533" s="547"/>
      <c r="L533" s="547"/>
      <c r="M533" s="547"/>
      <c r="N533" s="547"/>
      <c r="O533" s="547"/>
      <c r="P533" s="547"/>
      <c r="Q533" s="547"/>
      <c r="R533" s="547"/>
      <c r="S533" s="547"/>
      <c r="T533" s="547"/>
      <c r="U533" s="547"/>
      <c r="V533" s="547"/>
      <c r="W533" s="547"/>
      <c r="X533" s="547"/>
      <c r="Y533" s="547"/>
      <c r="Z533" s="547"/>
      <c r="AA533" s="547"/>
      <c r="AB533" s="547"/>
      <c r="AC533" s="547"/>
      <c r="AD533" s="547"/>
      <c r="AE533" s="547"/>
      <c r="AF533" s="547"/>
      <c r="AG533" s="547"/>
      <c r="AH533" s="547"/>
      <c r="AI533" s="547"/>
      <c r="AJ533" s="547"/>
      <c r="AK533" s="547"/>
      <c r="AL533" s="547"/>
      <c r="AM533" s="547"/>
      <c r="AN533" s="547"/>
      <c r="AO533" s="547"/>
      <c r="AP533" s="547"/>
      <c r="AQ533" s="547"/>
      <c r="AR533" s="547"/>
      <c r="AS533" s="547"/>
      <c r="AT533" s="547"/>
      <c r="AU533" s="547"/>
      <c r="AV533" s="547"/>
      <c r="AW533" s="547"/>
      <c r="AX533" s="547"/>
      <c r="AY533" s="547"/>
      <c r="AZ533" s="547"/>
      <c r="BA533" s="547"/>
      <c r="BB533" s="547"/>
      <c r="BC533" s="547"/>
      <c r="BD533" s="547"/>
      <c r="BE533" s="547"/>
      <c r="BF533" s="547"/>
      <c r="BG533" s="547"/>
      <c r="BH533" s="547"/>
      <c r="BI533" s="547"/>
      <c r="BJ533" s="547"/>
      <c r="BK533" s="547"/>
      <c r="BL533" s="547"/>
      <c r="BM533" s="547"/>
      <c r="BN533" s="547"/>
      <c r="BO533" s="547"/>
      <c r="BP533" s="547"/>
      <c r="BQ533" s="547"/>
      <c r="BR533" s="547"/>
      <c r="BS533" s="547"/>
      <c r="BT533" s="547"/>
      <c r="BU533" s="547"/>
      <c r="BV533" s="547"/>
      <c r="BW533" s="547"/>
      <c r="BX533" s="547"/>
      <c r="BY533" s="547"/>
      <c r="BZ533" s="547"/>
      <c r="CA533" s="547"/>
      <c r="CB533" s="547"/>
      <c r="CC533" s="547"/>
    </row>
    <row r="534" spans="1:81">
      <c r="A534" s="547"/>
      <c r="B534" s="547"/>
      <c r="C534" s="547"/>
      <c r="D534" s="547"/>
      <c r="E534" s="547"/>
      <c r="F534" s="547"/>
      <c r="G534" s="547"/>
      <c r="H534" s="547"/>
      <c r="I534" s="547"/>
      <c r="J534" s="547"/>
      <c r="K534" s="547"/>
      <c r="L534" s="547"/>
      <c r="M534" s="547"/>
      <c r="N534" s="547"/>
      <c r="O534" s="547"/>
      <c r="P534" s="547"/>
      <c r="Q534" s="547"/>
      <c r="R534" s="547"/>
      <c r="S534" s="547"/>
      <c r="T534" s="547"/>
      <c r="U534" s="547"/>
      <c r="V534" s="547"/>
      <c r="W534" s="547"/>
      <c r="X534" s="547"/>
      <c r="Y534" s="547"/>
      <c r="Z534" s="547"/>
      <c r="AA534" s="547"/>
      <c r="AB534" s="547"/>
      <c r="AC534" s="547"/>
      <c r="AD534" s="547"/>
      <c r="AE534" s="547"/>
      <c r="AF534" s="547"/>
      <c r="AG534" s="547"/>
      <c r="AH534" s="547"/>
      <c r="AI534" s="547"/>
      <c r="AJ534" s="547"/>
      <c r="AK534" s="547"/>
      <c r="AL534" s="547"/>
      <c r="AM534" s="547"/>
      <c r="AN534" s="547"/>
      <c r="AO534" s="547"/>
      <c r="AP534" s="547"/>
      <c r="AQ534" s="547"/>
      <c r="AR534" s="547"/>
      <c r="AS534" s="547"/>
      <c r="AT534" s="547"/>
      <c r="AU534" s="547"/>
      <c r="AV534" s="547"/>
      <c r="AW534" s="547"/>
      <c r="AX534" s="547"/>
      <c r="AY534" s="547"/>
      <c r="AZ534" s="547"/>
      <c r="BA534" s="547"/>
      <c r="BB534" s="547"/>
      <c r="BC534" s="547"/>
      <c r="BD534" s="547"/>
      <c r="BE534" s="547"/>
      <c r="BF534" s="547"/>
      <c r="BG534" s="547"/>
      <c r="BH534" s="547"/>
      <c r="BI534" s="547"/>
      <c r="BJ534" s="547"/>
      <c r="BK534" s="547"/>
      <c r="BL534" s="547"/>
      <c r="BM534" s="547"/>
      <c r="BN534" s="547"/>
      <c r="BO534" s="547"/>
      <c r="BP534" s="547"/>
      <c r="BQ534" s="547"/>
      <c r="BR534" s="547"/>
      <c r="BS534" s="547"/>
      <c r="BT534" s="547"/>
      <c r="BU534" s="547"/>
      <c r="BV534" s="547"/>
      <c r="BW534" s="547"/>
      <c r="BX534" s="547"/>
      <c r="BY534" s="547"/>
      <c r="BZ534" s="547"/>
      <c r="CA534" s="547"/>
      <c r="CB534" s="547"/>
      <c r="CC534" s="547"/>
    </row>
    <row r="535" spans="1:81">
      <c r="A535" s="547"/>
      <c r="B535" s="547"/>
      <c r="C535" s="547"/>
      <c r="D535" s="547"/>
      <c r="E535" s="547"/>
      <c r="F535" s="547"/>
      <c r="G535" s="547"/>
      <c r="H535" s="547"/>
      <c r="I535" s="547"/>
      <c r="J535" s="547"/>
      <c r="K535" s="547"/>
      <c r="L535" s="547"/>
      <c r="M535" s="547"/>
      <c r="N535" s="547"/>
      <c r="O535" s="547"/>
      <c r="P535" s="547"/>
      <c r="Q535" s="547"/>
      <c r="R535" s="547"/>
      <c r="S535" s="547"/>
      <c r="T535" s="547"/>
      <c r="U535" s="547"/>
      <c r="V535" s="547"/>
      <c r="W535" s="547"/>
      <c r="X535" s="547"/>
      <c r="Y535" s="547"/>
      <c r="Z535" s="547"/>
      <c r="AA535" s="547"/>
      <c r="AB535" s="547"/>
      <c r="AC535" s="547"/>
      <c r="AD535" s="547"/>
      <c r="AE535" s="547"/>
      <c r="AF535" s="547"/>
      <c r="AG535" s="547"/>
      <c r="AH535" s="547"/>
      <c r="AI535" s="547"/>
      <c r="AJ535" s="547"/>
      <c r="AK535" s="547"/>
      <c r="AL535" s="547"/>
      <c r="AM535" s="547"/>
      <c r="AN535" s="547"/>
      <c r="AO535" s="547"/>
      <c r="AP535" s="547"/>
      <c r="AQ535" s="547"/>
      <c r="AR535" s="547"/>
      <c r="AS535" s="547"/>
      <c r="AT535" s="547"/>
      <c r="AU535" s="547"/>
      <c r="AV535" s="547"/>
      <c r="AW535" s="547"/>
      <c r="AX535" s="547"/>
      <c r="AY535" s="547"/>
      <c r="AZ535" s="547"/>
      <c r="BA535" s="547"/>
      <c r="BB535" s="547"/>
      <c r="BC535" s="547"/>
      <c r="BD535" s="547"/>
      <c r="BE535" s="547"/>
      <c r="BF535" s="547"/>
      <c r="BG535" s="547"/>
      <c r="BH535" s="547"/>
      <c r="BI535" s="547"/>
      <c r="BJ535" s="547"/>
      <c r="BK535" s="547"/>
      <c r="BL535" s="547"/>
      <c r="BM535" s="547"/>
      <c r="BN535" s="547"/>
      <c r="BO535" s="547"/>
      <c r="BP535" s="547"/>
      <c r="BQ535" s="547"/>
      <c r="BR535" s="547"/>
      <c r="BS535" s="547"/>
      <c r="BT535" s="547"/>
      <c r="BU535" s="547"/>
      <c r="BV535" s="547"/>
      <c r="BW535" s="547"/>
      <c r="BX535" s="547"/>
      <c r="BY535" s="547"/>
      <c r="BZ535" s="547"/>
      <c r="CA535" s="547"/>
      <c r="CB535" s="547"/>
      <c r="CC535" s="547"/>
    </row>
    <row r="536" spans="1:81">
      <c r="A536" s="547"/>
      <c r="B536" s="547"/>
      <c r="C536" s="547"/>
      <c r="D536" s="547"/>
      <c r="E536" s="547"/>
      <c r="F536" s="547"/>
      <c r="G536" s="547"/>
      <c r="H536" s="547"/>
      <c r="I536" s="547"/>
      <c r="J536" s="547"/>
      <c r="K536" s="547"/>
      <c r="L536" s="547"/>
      <c r="M536" s="547"/>
      <c r="N536" s="547"/>
      <c r="O536" s="547"/>
      <c r="P536" s="547"/>
      <c r="Q536" s="547"/>
      <c r="R536" s="547"/>
      <c r="S536" s="547"/>
      <c r="T536" s="547"/>
      <c r="U536" s="547"/>
      <c r="V536" s="547"/>
      <c r="W536" s="547"/>
      <c r="X536" s="547"/>
      <c r="Y536" s="547"/>
      <c r="Z536" s="547"/>
      <c r="AA536" s="547"/>
      <c r="AB536" s="547"/>
      <c r="AC536" s="547"/>
      <c r="AD536" s="547"/>
      <c r="AE536" s="547"/>
      <c r="AF536" s="547"/>
      <c r="AG536" s="547"/>
      <c r="AH536" s="547"/>
      <c r="AI536" s="547"/>
      <c r="AJ536" s="547"/>
      <c r="AK536" s="547"/>
      <c r="AL536" s="547"/>
      <c r="AM536" s="547"/>
      <c r="AN536" s="547"/>
      <c r="AO536" s="547"/>
      <c r="AP536" s="547"/>
      <c r="AQ536" s="547"/>
      <c r="AR536" s="547"/>
      <c r="AS536" s="547"/>
      <c r="AT536" s="547"/>
      <c r="AU536" s="547"/>
      <c r="AV536" s="547"/>
      <c r="AW536" s="547"/>
      <c r="AX536" s="547"/>
      <c r="AY536" s="547"/>
      <c r="AZ536" s="547"/>
      <c r="BA536" s="547"/>
      <c r="BB536" s="547"/>
      <c r="BC536" s="547"/>
      <c r="BD536" s="547"/>
      <c r="BE536" s="547"/>
      <c r="BF536" s="547"/>
      <c r="BG536" s="547"/>
      <c r="BH536" s="547"/>
      <c r="BI536" s="547"/>
      <c r="BJ536" s="547"/>
      <c r="BK536" s="547"/>
      <c r="BL536" s="547"/>
      <c r="BM536" s="547"/>
      <c r="BN536" s="547"/>
      <c r="BO536" s="547"/>
      <c r="BP536" s="547"/>
      <c r="BQ536" s="547"/>
      <c r="BR536" s="547"/>
      <c r="BS536" s="547"/>
      <c r="BT536" s="547"/>
      <c r="BU536" s="547"/>
      <c r="BV536" s="547"/>
      <c r="BW536" s="547"/>
      <c r="BX536" s="547"/>
      <c r="BY536" s="547"/>
      <c r="BZ536" s="547"/>
      <c r="CA536" s="547"/>
      <c r="CB536" s="547"/>
      <c r="CC536" s="547"/>
    </row>
    <row r="537" spans="1:81">
      <c r="A537" s="547"/>
      <c r="B537" s="547"/>
      <c r="C537" s="547"/>
      <c r="D537" s="547"/>
      <c r="E537" s="547"/>
      <c r="F537" s="547"/>
      <c r="G537" s="547"/>
      <c r="H537" s="547"/>
      <c r="I537" s="547"/>
      <c r="J537" s="547"/>
      <c r="K537" s="547"/>
      <c r="L537" s="547"/>
      <c r="M537" s="547"/>
      <c r="N537" s="547"/>
      <c r="O537" s="547"/>
      <c r="P537" s="547"/>
      <c r="Q537" s="547"/>
      <c r="R537" s="547"/>
      <c r="S537" s="547"/>
      <c r="T537" s="547"/>
      <c r="U537" s="547"/>
      <c r="V537" s="547"/>
      <c r="W537" s="547"/>
      <c r="X537" s="547"/>
      <c r="Y537" s="547"/>
      <c r="Z537" s="547"/>
      <c r="AA537" s="547"/>
      <c r="AB537" s="547"/>
      <c r="AC537" s="547"/>
      <c r="AD537" s="547"/>
      <c r="AE537" s="547"/>
      <c r="AF537" s="547"/>
      <c r="AG537" s="547"/>
      <c r="AH537" s="547"/>
      <c r="AI537" s="547"/>
      <c r="AJ537" s="547"/>
      <c r="AK537" s="547"/>
      <c r="AL537" s="547"/>
      <c r="AM537" s="547"/>
      <c r="AN537" s="547"/>
      <c r="AO537" s="547"/>
      <c r="AP537" s="547"/>
      <c r="AQ537" s="547"/>
      <c r="AR537" s="547"/>
      <c r="AS537" s="547"/>
      <c r="AT537" s="547"/>
      <c r="AU537" s="547"/>
      <c r="AV537" s="547"/>
      <c r="AW537" s="547"/>
      <c r="AX537" s="547"/>
      <c r="AY537" s="547"/>
      <c r="AZ537" s="547"/>
      <c r="BA537" s="547"/>
      <c r="BB537" s="547"/>
      <c r="BC537" s="547"/>
      <c r="BD537" s="547"/>
      <c r="BE537" s="547"/>
      <c r="BF537" s="547"/>
      <c r="BG537" s="547"/>
      <c r="BH537" s="547"/>
      <c r="BI537" s="547"/>
      <c r="BJ537" s="547"/>
      <c r="BK537" s="547"/>
      <c r="BL537" s="547"/>
      <c r="BM537" s="547"/>
      <c r="BN537" s="547"/>
      <c r="BO537" s="547"/>
      <c r="BP537" s="547"/>
      <c r="BQ537" s="547"/>
      <c r="BR537" s="547"/>
      <c r="BS537" s="547"/>
      <c r="BT537" s="547"/>
      <c r="BU537" s="547"/>
      <c r="BV537" s="547"/>
      <c r="BW537" s="547"/>
      <c r="BX537" s="547"/>
      <c r="BY537" s="547"/>
      <c r="BZ537" s="547"/>
      <c r="CA537" s="547"/>
      <c r="CB537" s="547"/>
      <c r="CC537" s="547"/>
    </row>
    <row r="538" spans="1:81">
      <c r="A538" s="547"/>
      <c r="B538" s="547"/>
      <c r="C538" s="547"/>
      <c r="D538" s="547"/>
      <c r="E538" s="547"/>
      <c r="F538" s="547"/>
      <c r="G538" s="547"/>
      <c r="H538" s="547"/>
      <c r="I538" s="547"/>
      <c r="J538" s="547"/>
      <c r="K538" s="547"/>
      <c r="L538" s="547"/>
      <c r="M538" s="547"/>
      <c r="N538" s="547"/>
      <c r="O538" s="547"/>
      <c r="P538" s="547"/>
      <c r="Q538" s="547"/>
      <c r="R538" s="547"/>
      <c r="S538" s="547"/>
      <c r="T538" s="547"/>
      <c r="U538" s="547"/>
      <c r="V538" s="547"/>
      <c r="W538" s="547"/>
      <c r="X538" s="547"/>
      <c r="Y538" s="547"/>
      <c r="Z538" s="547"/>
      <c r="AA538" s="547"/>
      <c r="AB538" s="547"/>
      <c r="AC538" s="547"/>
      <c r="AD538" s="547"/>
      <c r="AE538" s="547"/>
      <c r="AF538" s="547"/>
      <c r="AG538" s="547"/>
      <c r="AH538" s="547"/>
      <c r="AI538" s="547"/>
      <c r="AJ538" s="547"/>
      <c r="AK538" s="547"/>
      <c r="AL538" s="547"/>
      <c r="AM538" s="547"/>
      <c r="AN538" s="547"/>
      <c r="AO538" s="547"/>
      <c r="AP538" s="547"/>
      <c r="AQ538" s="547"/>
      <c r="AR538" s="547"/>
      <c r="AS538" s="547"/>
      <c r="AT538" s="547"/>
      <c r="AU538" s="547"/>
      <c r="AV538" s="547"/>
      <c r="AW538" s="547"/>
      <c r="AX538" s="547"/>
      <c r="AY538" s="547"/>
      <c r="AZ538" s="547"/>
      <c r="BA538" s="547"/>
      <c r="BB538" s="547"/>
      <c r="BC538" s="547"/>
      <c r="BD538" s="547"/>
      <c r="BE538" s="547"/>
      <c r="BF538" s="547"/>
      <c r="BG538" s="547"/>
      <c r="BH538" s="547"/>
      <c r="BI538" s="547"/>
      <c r="BJ538" s="547"/>
      <c r="BK538" s="547"/>
      <c r="BL538" s="547"/>
      <c r="BM538" s="547"/>
      <c r="BN538" s="547"/>
      <c r="BO538" s="547"/>
      <c r="BP538" s="547"/>
      <c r="BQ538" s="547"/>
      <c r="BR538" s="547"/>
      <c r="BS538" s="547"/>
      <c r="BT538" s="547"/>
      <c r="BU538" s="547"/>
      <c r="BV538" s="547"/>
      <c r="BW538" s="547"/>
      <c r="BX538" s="547"/>
      <c r="BY538" s="547"/>
      <c r="BZ538" s="547"/>
      <c r="CA538" s="547"/>
      <c r="CB538" s="547"/>
      <c r="CC538" s="547"/>
    </row>
    <row r="539" spans="1:81">
      <c r="A539" s="547"/>
      <c r="B539" s="547"/>
      <c r="C539" s="547"/>
      <c r="D539" s="547"/>
      <c r="E539" s="547"/>
      <c r="F539" s="547"/>
      <c r="G539" s="547"/>
      <c r="H539" s="547"/>
      <c r="I539" s="547"/>
      <c r="J539" s="547"/>
      <c r="K539" s="547"/>
      <c r="L539" s="547"/>
      <c r="M539" s="547"/>
      <c r="N539" s="547"/>
      <c r="O539" s="547"/>
      <c r="P539" s="547"/>
      <c r="Q539" s="547"/>
      <c r="R539" s="547"/>
      <c r="S539" s="547"/>
      <c r="T539" s="547"/>
      <c r="U539" s="547"/>
      <c r="V539" s="547"/>
      <c r="W539" s="547"/>
      <c r="X539" s="547"/>
      <c r="Y539" s="547"/>
      <c r="Z539" s="547"/>
      <c r="AA539" s="547"/>
      <c r="AB539" s="547"/>
      <c r="AC539" s="547"/>
      <c r="AD539" s="547"/>
      <c r="AE539" s="547"/>
      <c r="AF539" s="547"/>
      <c r="AG539" s="547"/>
      <c r="AH539" s="547"/>
      <c r="AI539" s="547"/>
      <c r="AJ539" s="547"/>
      <c r="AK539" s="547"/>
      <c r="AL539" s="547"/>
      <c r="AM539" s="547"/>
      <c r="AN539" s="547"/>
      <c r="AO539" s="547"/>
      <c r="AP539" s="547"/>
      <c r="AQ539" s="547"/>
      <c r="AR539" s="547"/>
      <c r="AS539" s="547"/>
      <c r="AT539" s="547"/>
      <c r="AU539" s="547"/>
      <c r="AV539" s="547"/>
      <c r="AW539" s="547"/>
      <c r="AX539" s="547"/>
      <c r="AY539" s="547"/>
      <c r="AZ539" s="547"/>
      <c r="BA539" s="547"/>
      <c r="BB539" s="547"/>
      <c r="BC539" s="547"/>
      <c r="BD539" s="547"/>
      <c r="BE539" s="547"/>
      <c r="BF539" s="547"/>
      <c r="BG539" s="547"/>
      <c r="BH539" s="547"/>
      <c r="BI539" s="547"/>
      <c r="BJ539" s="547"/>
      <c r="BK539" s="547"/>
      <c r="BL539" s="547"/>
      <c r="BM539" s="547"/>
      <c r="BN539" s="547"/>
      <c r="BO539" s="547"/>
      <c r="BP539" s="547"/>
      <c r="BQ539" s="547"/>
      <c r="BR539" s="547"/>
      <c r="BS539" s="547"/>
      <c r="BT539" s="547"/>
      <c r="BU539" s="547"/>
      <c r="BV539" s="547"/>
      <c r="BW539" s="547"/>
      <c r="BX539" s="547"/>
      <c r="BY539" s="547"/>
      <c r="BZ539" s="547"/>
      <c r="CA539" s="547"/>
      <c r="CB539" s="547"/>
      <c r="CC539" s="547"/>
    </row>
    <row r="540" spans="1:81">
      <c r="A540" s="547"/>
      <c r="B540" s="547"/>
      <c r="C540" s="547"/>
      <c r="D540" s="547"/>
      <c r="E540" s="547"/>
      <c r="F540" s="547"/>
      <c r="G540" s="547"/>
      <c r="H540" s="547"/>
      <c r="I540" s="547"/>
      <c r="J540" s="547"/>
      <c r="K540" s="547"/>
      <c r="L540" s="547"/>
      <c r="M540" s="547"/>
      <c r="N540" s="547"/>
      <c r="O540" s="547"/>
      <c r="P540" s="547"/>
      <c r="Q540" s="547"/>
      <c r="R540" s="547"/>
      <c r="S540" s="547"/>
      <c r="T540" s="547"/>
      <c r="U540" s="547"/>
      <c r="V540" s="547"/>
      <c r="W540" s="547"/>
      <c r="X540" s="547"/>
      <c r="Y540" s="547"/>
      <c r="Z540" s="547"/>
      <c r="AA540" s="547"/>
      <c r="AB540" s="547"/>
      <c r="AC540" s="547"/>
      <c r="AD540" s="547"/>
      <c r="AE540" s="547"/>
      <c r="AF540" s="547"/>
      <c r="AG540" s="547"/>
      <c r="AH540" s="547"/>
      <c r="AI540" s="547"/>
      <c r="AJ540" s="547"/>
      <c r="AK540" s="547"/>
      <c r="AL540" s="547"/>
      <c r="AM540" s="547"/>
      <c r="AN540" s="547"/>
      <c r="AO540" s="547"/>
      <c r="AP540" s="547"/>
      <c r="AQ540" s="547"/>
      <c r="AR540" s="547"/>
      <c r="AS540" s="547"/>
      <c r="AT540" s="547"/>
      <c r="AU540" s="547"/>
      <c r="AV540" s="547"/>
      <c r="AW540" s="547"/>
      <c r="AX540" s="547"/>
      <c r="AY540" s="547"/>
      <c r="AZ540" s="547"/>
      <c r="BA540" s="547"/>
      <c r="BB540" s="547"/>
      <c r="BC540" s="547"/>
      <c r="BD540" s="547"/>
      <c r="BE540" s="547"/>
      <c r="BF540" s="547"/>
      <c r="BG540" s="547"/>
      <c r="BH540" s="547"/>
      <c r="BI540" s="547"/>
      <c r="BJ540" s="547"/>
      <c r="BK540" s="547"/>
      <c r="BL540" s="547"/>
      <c r="BM540" s="547"/>
      <c r="BN540" s="547"/>
      <c r="BO540" s="547"/>
      <c r="BP540" s="547"/>
      <c r="BQ540" s="547"/>
      <c r="BR540" s="547"/>
      <c r="BS540" s="547"/>
      <c r="BT540" s="547"/>
      <c r="BU540" s="547"/>
      <c r="BV540" s="547"/>
      <c r="BW540" s="547"/>
      <c r="BX540" s="547"/>
      <c r="BY540" s="547"/>
      <c r="BZ540" s="547"/>
      <c r="CA540" s="547"/>
      <c r="CB540" s="547"/>
      <c r="CC540" s="547"/>
    </row>
    <row r="541" spans="1:81">
      <c r="A541" s="547"/>
      <c r="B541" s="547"/>
      <c r="C541" s="547"/>
      <c r="D541" s="547"/>
      <c r="E541" s="547"/>
      <c r="F541" s="547"/>
      <c r="G541" s="547"/>
      <c r="H541" s="547"/>
      <c r="I541" s="547"/>
      <c r="J541" s="547"/>
      <c r="K541" s="547"/>
      <c r="L541" s="547"/>
      <c r="M541" s="547"/>
      <c r="N541" s="547"/>
      <c r="O541" s="547"/>
      <c r="P541" s="547"/>
      <c r="Q541" s="547"/>
      <c r="R541" s="547"/>
      <c r="S541" s="547"/>
      <c r="T541" s="547"/>
      <c r="U541" s="547"/>
      <c r="V541" s="547"/>
      <c r="W541" s="547"/>
      <c r="X541" s="547"/>
      <c r="Y541" s="547"/>
      <c r="Z541" s="547"/>
      <c r="AA541" s="547"/>
      <c r="AB541" s="547"/>
      <c r="AC541" s="547"/>
      <c r="AD541" s="547"/>
      <c r="AE541" s="547"/>
      <c r="AF541" s="547"/>
      <c r="AG541" s="547"/>
      <c r="AH541" s="547"/>
      <c r="AI541" s="547"/>
      <c r="AJ541" s="547"/>
      <c r="AK541" s="547"/>
      <c r="AL541" s="547"/>
      <c r="AM541" s="547"/>
      <c r="AN541" s="547"/>
      <c r="AO541" s="547"/>
      <c r="AP541" s="547"/>
      <c r="AQ541" s="547"/>
      <c r="AR541" s="547"/>
      <c r="AS541" s="547"/>
      <c r="AT541" s="547"/>
      <c r="AU541" s="547"/>
      <c r="AV541" s="547"/>
      <c r="AW541" s="547"/>
      <c r="AX541" s="547"/>
      <c r="AY541" s="547"/>
      <c r="AZ541" s="547"/>
      <c r="BA541" s="547"/>
      <c r="BB541" s="547"/>
      <c r="BC541" s="547"/>
      <c r="BD541" s="547"/>
      <c r="BE541" s="547"/>
      <c r="BF541" s="547"/>
      <c r="BG541" s="547"/>
      <c r="BH541" s="547"/>
      <c r="BI541" s="547"/>
      <c r="BJ541" s="547"/>
      <c r="BK541" s="547"/>
      <c r="BL541" s="547"/>
      <c r="BM541" s="547"/>
      <c r="BN541" s="547"/>
      <c r="BO541" s="547"/>
      <c r="BP541" s="547"/>
      <c r="BQ541" s="547"/>
      <c r="BR541" s="547"/>
      <c r="BS541" s="547"/>
      <c r="BT541" s="547"/>
      <c r="BU541" s="547"/>
      <c r="BV541" s="547"/>
      <c r="BW541" s="547"/>
      <c r="BX541" s="547"/>
      <c r="BY541" s="547"/>
      <c r="BZ541" s="547"/>
      <c r="CA541" s="547"/>
      <c r="CB541" s="547"/>
      <c r="CC541" s="547"/>
    </row>
    <row r="542" spans="1:81">
      <c r="A542" s="547"/>
      <c r="B542" s="547"/>
      <c r="C542" s="547"/>
      <c r="D542" s="547"/>
      <c r="E542" s="547"/>
      <c r="F542" s="547"/>
      <c r="G542" s="547"/>
      <c r="H542" s="547"/>
      <c r="I542" s="547"/>
      <c r="J542" s="547"/>
      <c r="K542" s="547"/>
      <c r="L542" s="547"/>
      <c r="M542" s="547"/>
      <c r="N542" s="547"/>
      <c r="O542" s="547"/>
      <c r="P542" s="547"/>
      <c r="Q542" s="547"/>
      <c r="R542" s="547"/>
      <c r="S542" s="547"/>
      <c r="T542" s="547"/>
      <c r="U542" s="547"/>
      <c r="V542" s="547"/>
      <c r="W542" s="547"/>
      <c r="X542" s="547"/>
      <c r="Y542" s="547"/>
      <c r="Z542" s="547"/>
      <c r="AA542" s="547"/>
      <c r="AB542" s="547"/>
      <c r="AC542" s="547"/>
      <c r="AD542" s="547"/>
      <c r="AE542" s="547"/>
      <c r="AF542" s="547"/>
      <c r="AG542" s="547"/>
      <c r="AH542" s="547"/>
      <c r="AI542" s="547"/>
      <c r="AJ542" s="547"/>
      <c r="AK542" s="547"/>
      <c r="AL542" s="547"/>
      <c r="AM542" s="547"/>
      <c r="AN542" s="547"/>
      <c r="AO542" s="547"/>
      <c r="AP542" s="547"/>
      <c r="AQ542" s="547"/>
      <c r="AR542" s="547"/>
      <c r="AS542" s="547"/>
      <c r="AT542" s="547"/>
      <c r="AU542" s="547"/>
      <c r="AV542" s="547"/>
      <c r="AW542" s="547"/>
      <c r="AX542" s="547"/>
      <c r="AY542" s="547"/>
      <c r="AZ542" s="547"/>
      <c r="BA542" s="547"/>
      <c r="BB542" s="547"/>
      <c r="BC542" s="547"/>
      <c r="BD542" s="547"/>
      <c r="BE542" s="547"/>
      <c r="BF542" s="547"/>
      <c r="BG542" s="547"/>
      <c r="BH542" s="547"/>
      <c r="BI542" s="547"/>
      <c r="BJ542" s="547"/>
      <c r="BK542" s="547"/>
      <c r="BL542" s="547"/>
      <c r="BM542" s="547"/>
      <c r="BN542" s="547"/>
      <c r="BO542" s="547"/>
      <c r="BP542" s="547"/>
      <c r="BQ542" s="547"/>
      <c r="BR542" s="547"/>
      <c r="BS542" s="547"/>
      <c r="BT542" s="547"/>
      <c r="BU542" s="547"/>
      <c r="BV542" s="547"/>
      <c r="BW542" s="547"/>
      <c r="BX542" s="547"/>
      <c r="BY542" s="547"/>
      <c r="BZ542" s="547"/>
      <c r="CA542" s="547"/>
      <c r="CB542" s="547"/>
      <c r="CC542" s="547"/>
    </row>
    <row r="543" spans="1:81">
      <c r="A543" s="547"/>
      <c r="B543" s="547"/>
      <c r="C543" s="547"/>
      <c r="D543" s="547"/>
      <c r="E543" s="547"/>
      <c r="F543" s="547"/>
      <c r="G543" s="547"/>
      <c r="H543" s="547"/>
      <c r="I543" s="547"/>
      <c r="J543" s="547"/>
      <c r="K543" s="547"/>
      <c r="L543" s="547"/>
      <c r="M543" s="547"/>
      <c r="N543" s="547"/>
      <c r="O543" s="547"/>
      <c r="P543" s="547"/>
      <c r="Q543" s="547"/>
      <c r="R543" s="547"/>
      <c r="S543" s="547"/>
      <c r="T543" s="547"/>
      <c r="U543" s="547"/>
      <c r="V543" s="547"/>
      <c r="W543" s="547"/>
      <c r="X543" s="547"/>
      <c r="Y543" s="547"/>
      <c r="Z543" s="547"/>
      <c r="AA543" s="547"/>
      <c r="AB543" s="547"/>
      <c r="AC543" s="547"/>
      <c r="AD543" s="547"/>
      <c r="AE543" s="547"/>
      <c r="AF543" s="547"/>
      <c r="AG543" s="547"/>
      <c r="AH543" s="547"/>
      <c r="AI543" s="547"/>
      <c r="AJ543" s="547"/>
      <c r="AK543" s="547"/>
      <c r="AL543" s="547"/>
      <c r="AM543" s="547"/>
      <c r="AN543" s="547"/>
      <c r="AO543" s="547"/>
      <c r="AP543" s="547"/>
      <c r="AQ543" s="547"/>
      <c r="AR543" s="547"/>
      <c r="AS543" s="547"/>
      <c r="AT543" s="547"/>
      <c r="AU543" s="547"/>
      <c r="AV543" s="547"/>
      <c r="AW543" s="547"/>
      <c r="AX543" s="547"/>
      <c r="AY543" s="547"/>
      <c r="AZ543" s="547"/>
      <c r="BA543" s="547"/>
      <c r="BB543" s="547"/>
      <c r="BC543" s="547"/>
      <c r="BD543" s="547"/>
      <c r="BE543" s="547"/>
      <c r="BF543" s="547"/>
      <c r="BG543" s="547"/>
      <c r="BH543" s="547"/>
      <c r="BI543" s="547"/>
      <c r="BJ543" s="547"/>
      <c r="BK543" s="547"/>
      <c r="BL543" s="547"/>
      <c r="BM543" s="547"/>
      <c r="BN543" s="547"/>
      <c r="BO543" s="547"/>
      <c r="BP543" s="547"/>
      <c r="BQ543" s="547"/>
      <c r="BR543" s="547"/>
      <c r="BS543" s="547"/>
      <c r="BT543" s="547"/>
      <c r="BU543" s="547"/>
      <c r="BV543" s="547"/>
      <c r="BW543" s="547"/>
      <c r="BX543" s="547"/>
      <c r="BY543" s="547"/>
      <c r="BZ543" s="547"/>
      <c r="CA543" s="547"/>
      <c r="CB543" s="547"/>
      <c r="CC543" s="547"/>
    </row>
    <row r="544" spans="1:81">
      <c r="A544" s="547"/>
      <c r="B544" s="547"/>
      <c r="C544" s="547"/>
      <c r="D544" s="547"/>
      <c r="E544" s="547"/>
      <c r="F544" s="547"/>
      <c r="G544" s="547"/>
      <c r="H544" s="547"/>
      <c r="I544" s="547"/>
      <c r="J544" s="547"/>
      <c r="K544" s="547"/>
      <c r="L544" s="547"/>
      <c r="M544" s="547"/>
      <c r="N544" s="547"/>
      <c r="O544" s="547"/>
      <c r="P544" s="547"/>
      <c r="Q544" s="547"/>
      <c r="R544" s="547"/>
      <c r="S544" s="547"/>
      <c r="T544" s="547"/>
      <c r="U544" s="547"/>
      <c r="V544" s="547"/>
      <c r="W544" s="547"/>
      <c r="X544" s="547"/>
      <c r="Y544" s="547"/>
      <c r="Z544" s="547"/>
      <c r="AA544" s="547"/>
      <c r="AB544" s="547"/>
      <c r="AC544" s="547"/>
      <c r="AD544" s="547"/>
      <c r="AE544" s="547"/>
      <c r="AF544" s="547"/>
      <c r="AG544" s="547"/>
      <c r="AH544" s="547"/>
      <c r="AI544" s="547"/>
      <c r="AJ544" s="547"/>
      <c r="AK544" s="547"/>
      <c r="AL544" s="547"/>
      <c r="AM544" s="547"/>
      <c r="AN544" s="547"/>
      <c r="AO544" s="547"/>
      <c r="AP544" s="547"/>
      <c r="AQ544" s="547"/>
      <c r="AR544" s="547"/>
      <c r="AS544" s="547"/>
      <c r="AT544" s="547"/>
      <c r="AU544" s="547"/>
      <c r="AV544" s="547"/>
      <c r="AW544" s="547"/>
      <c r="AX544" s="547"/>
      <c r="AY544" s="547"/>
      <c r="AZ544" s="547"/>
      <c r="BA544" s="547"/>
      <c r="BB544" s="547"/>
      <c r="BC544" s="547"/>
      <c r="BD544" s="547"/>
      <c r="BE544" s="547"/>
      <c r="BF544" s="547"/>
      <c r="BG544" s="547"/>
      <c r="BH544" s="547"/>
      <c r="BI544" s="547"/>
      <c r="BJ544" s="547"/>
      <c r="BK544" s="547"/>
      <c r="BL544" s="547"/>
      <c r="BM544" s="547"/>
      <c r="BN544" s="547"/>
      <c r="BO544" s="547"/>
      <c r="BP544" s="547"/>
      <c r="BQ544" s="547"/>
      <c r="BR544" s="547"/>
      <c r="BS544" s="547"/>
      <c r="BT544" s="547"/>
      <c r="BU544" s="547"/>
      <c r="BV544" s="547"/>
      <c r="BW544" s="547"/>
      <c r="BX544" s="547"/>
      <c r="BY544" s="547"/>
      <c r="BZ544" s="547"/>
      <c r="CA544" s="547"/>
      <c r="CB544" s="547"/>
      <c r="CC544" s="547"/>
    </row>
    <row r="545" spans="1:81">
      <c r="A545" s="547"/>
      <c r="B545" s="547"/>
      <c r="C545" s="547"/>
      <c r="D545" s="547"/>
      <c r="E545" s="547"/>
      <c r="F545" s="547"/>
      <c r="G545" s="547"/>
      <c r="H545" s="547"/>
      <c r="I545" s="547"/>
      <c r="J545" s="547"/>
      <c r="K545" s="547"/>
      <c r="L545" s="547"/>
      <c r="M545" s="547"/>
      <c r="N545" s="547"/>
      <c r="O545" s="547"/>
      <c r="P545" s="547"/>
      <c r="Q545" s="547"/>
      <c r="R545" s="547"/>
      <c r="S545" s="547"/>
      <c r="T545" s="547"/>
      <c r="U545" s="547"/>
      <c r="V545" s="547"/>
      <c r="W545" s="547"/>
      <c r="X545" s="547"/>
      <c r="Y545" s="547"/>
      <c r="Z545" s="547"/>
      <c r="AA545" s="547"/>
      <c r="AB545" s="547"/>
      <c r="AC545" s="547"/>
      <c r="AD545" s="547"/>
      <c r="AE545" s="547"/>
      <c r="AF545" s="547"/>
      <c r="AG545" s="547"/>
      <c r="AH545" s="547"/>
      <c r="AI545" s="547"/>
      <c r="AJ545" s="547"/>
      <c r="AK545" s="547"/>
      <c r="AL545" s="547"/>
      <c r="AM545" s="547"/>
      <c r="AN545" s="547"/>
      <c r="AO545" s="547"/>
      <c r="AP545" s="547"/>
      <c r="AQ545" s="547"/>
      <c r="AR545" s="547"/>
      <c r="AS545" s="547"/>
      <c r="AT545" s="547"/>
      <c r="AU545" s="547"/>
      <c r="AV545" s="547"/>
      <c r="AW545" s="547"/>
      <c r="AX545" s="547"/>
      <c r="AY545" s="547"/>
      <c r="AZ545" s="547"/>
      <c r="BA545" s="547"/>
      <c r="BB545" s="547"/>
      <c r="BC545" s="547"/>
      <c r="BD545" s="547"/>
      <c r="BE545" s="547"/>
      <c r="BF545" s="547"/>
      <c r="BG545" s="547"/>
      <c r="BH545" s="547"/>
      <c r="BI545" s="547"/>
      <c r="BJ545" s="547"/>
      <c r="BK545" s="547"/>
      <c r="BL545" s="547"/>
      <c r="BM545" s="547"/>
      <c r="BN545" s="547"/>
      <c r="BO545" s="547"/>
      <c r="BP545" s="547"/>
      <c r="BQ545" s="547"/>
      <c r="BR545" s="547"/>
      <c r="BS545" s="547"/>
      <c r="BT545" s="547"/>
      <c r="BU545" s="547"/>
      <c r="BV545" s="547"/>
      <c r="BW545" s="547"/>
      <c r="BX545" s="547"/>
      <c r="BY545" s="547"/>
      <c r="BZ545" s="547"/>
      <c r="CA545" s="547"/>
      <c r="CB545" s="547"/>
      <c r="CC545" s="547"/>
    </row>
    <row r="546" spans="1:81">
      <c r="A546" s="547"/>
      <c r="B546" s="547"/>
      <c r="C546" s="547"/>
      <c r="D546" s="547"/>
      <c r="E546" s="547"/>
      <c r="F546" s="547"/>
      <c r="G546" s="547"/>
      <c r="H546" s="547"/>
      <c r="I546" s="547"/>
      <c r="J546" s="547"/>
      <c r="K546" s="547"/>
      <c r="L546" s="547"/>
      <c r="M546" s="547"/>
      <c r="N546" s="547"/>
      <c r="O546" s="547"/>
      <c r="P546" s="547"/>
      <c r="Q546" s="547"/>
      <c r="R546" s="547"/>
      <c r="S546" s="547"/>
      <c r="T546" s="547"/>
      <c r="U546" s="547"/>
      <c r="V546" s="547"/>
      <c r="W546" s="547"/>
      <c r="X546" s="547"/>
      <c r="Y546" s="547"/>
      <c r="Z546" s="547"/>
      <c r="AA546" s="547"/>
      <c r="AB546" s="547"/>
      <c r="AC546" s="547"/>
      <c r="AD546" s="547"/>
      <c r="AE546" s="547"/>
      <c r="AF546" s="547"/>
      <c r="AG546" s="547"/>
      <c r="AH546" s="547"/>
      <c r="AI546" s="547"/>
      <c r="AJ546" s="547"/>
      <c r="AK546" s="547"/>
      <c r="AL546" s="547"/>
      <c r="AM546" s="547"/>
      <c r="AN546" s="547"/>
      <c r="AO546" s="547"/>
      <c r="AP546" s="547"/>
      <c r="AQ546" s="547"/>
      <c r="AR546" s="547"/>
      <c r="AS546" s="547"/>
      <c r="AT546" s="547"/>
      <c r="AU546" s="547"/>
      <c r="AV546" s="547"/>
      <c r="AW546" s="547"/>
      <c r="AX546" s="547"/>
      <c r="AY546" s="547"/>
      <c r="AZ546" s="547"/>
      <c r="BA546" s="547"/>
      <c r="BB546" s="547"/>
      <c r="BC546" s="547"/>
      <c r="BD546" s="547"/>
      <c r="BE546" s="547"/>
      <c r="BF546" s="547"/>
      <c r="BG546" s="547"/>
      <c r="BH546" s="547"/>
      <c r="BI546" s="547"/>
      <c r="BJ546" s="547"/>
      <c r="BK546" s="547"/>
      <c r="BL546" s="547"/>
      <c r="BM546" s="547"/>
      <c r="BN546" s="547"/>
      <c r="BO546" s="547"/>
      <c r="BP546" s="547"/>
      <c r="BQ546" s="547"/>
      <c r="BR546" s="547"/>
      <c r="BS546" s="547"/>
      <c r="BT546" s="547"/>
      <c r="BU546" s="547"/>
      <c r="BV546" s="547"/>
      <c r="BW546" s="547"/>
      <c r="BX546" s="547"/>
      <c r="BY546" s="547"/>
      <c r="BZ546" s="547"/>
      <c r="CA546" s="547"/>
      <c r="CB546" s="547"/>
      <c r="CC546" s="547"/>
    </row>
    <row r="547" spans="1:81">
      <c r="A547" s="547"/>
      <c r="B547" s="547"/>
      <c r="C547" s="547"/>
      <c r="D547" s="547"/>
      <c r="E547" s="547"/>
      <c r="F547" s="547"/>
      <c r="G547" s="547"/>
      <c r="H547" s="547"/>
      <c r="I547" s="547"/>
      <c r="J547" s="547"/>
      <c r="K547" s="547"/>
      <c r="L547" s="547"/>
      <c r="M547" s="547"/>
      <c r="N547" s="547"/>
      <c r="O547" s="547"/>
      <c r="P547" s="547"/>
      <c r="Q547" s="547"/>
      <c r="R547" s="547"/>
      <c r="S547" s="547"/>
      <c r="T547" s="547"/>
      <c r="U547" s="547"/>
      <c r="V547" s="547"/>
      <c r="W547" s="547"/>
      <c r="X547" s="547"/>
      <c r="Y547" s="547"/>
      <c r="Z547" s="547"/>
      <c r="AA547" s="547"/>
      <c r="AB547" s="547"/>
      <c r="AC547" s="547"/>
      <c r="AD547" s="547"/>
      <c r="AE547" s="547"/>
      <c r="AF547" s="547"/>
      <c r="AG547" s="547"/>
      <c r="AH547" s="547"/>
      <c r="AI547" s="547"/>
      <c r="AJ547" s="547"/>
      <c r="AK547" s="547"/>
      <c r="AL547" s="547"/>
      <c r="AM547" s="547"/>
      <c r="AN547" s="547"/>
      <c r="AO547" s="547"/>
      <c r="AP547" s="547"/>
      <c r="AQ547" s="547"/>
      <c r="AR547" s="547"/>
      <c r="AS547" s="547"/>
      <c r="AT547" s="547"/>
      <c r="AU547" s="547"/>
      <c r="AV547" s="547"/>
      <c r="AW547" s="547"/>
      <c r="AX547" s="547"/>
      <c r="AY547" s="547"/>
      <c r="AZ547" s="547"/>
      <c r="BA547" s="547"/>
      <c r="BB547" s="547"/>
      <c r="BC547" s="547"/>
      <c r="BD547" s="547"/>
      <c r="BE547" s="547"/>
      <c r="BF547" s="547"/>
      <c r="BG547" s="547"/>
      <c r="BH547" s="547"/>
      <c r="BI547" s="547"/>
      <c r="BJ547" s="547"/>
      <c r="BK547" s="547"/>
      <c r="BL547" s="547"/>
      <c r="BM547" s="547"/>
      <c r="BN547" s="547"/>
      <c r="BO547" s="547"/>
      <c r="BP547" s="547"/>
      <c r="BQ547" s="547"/>
      <c r="BR547" s="547"/>
      <c r="BS547" s="547"/>
      <c r="BT547" s="547"/>
      <c r="BU547" s="547"/>
      <c r="BV547" s="547"/>
      <c r="BW547" s="547"/>
      <c r="BX547" s="547"/>
      <c r="BY547" s="547"/>
      <c r="BZ547" s="547"/>
      <c r="CA547" s="547"/>
      <c r="CB547" s="547"/>
      <c r="CC547" s="547"/>
    </row>
    <row r="548" spans="1:81">
      <c r="A548" s="547"/>
      <c r="B548" s="547"/>
      <c r="C548" s="547"/>
      <c r="D548" s="547"/>
      <c r="E548" s="547"/>
      <c r="F548" s="547"/>
      <c r="G548" s="547"/>
      <c r="H548" s="547"/>
      <c r="I548" s="547"/>
      <c r="J548" s="547"/>
      <c r="K548" s="547"/>
      <c r="L548" s="547"/>
      <c r="M548" s="547"/>
      <c r="N548" s="547"/>
      <c r="O548" s="547"/>
      <c r="P548" s="547"/>
      <c r="Q548" s="547"/>
      <c r="R548" s="547"/>
      <c r="S548" s="547"/>
      <c r="T548" s="547"/>
      <c r="U548" s="547"/>
      <c r="V548" s="547"/>
      <c r="W548" s="547"/>
      <c r="X548" s="547"/>
      <c r="Y548" s="547"/>
      <c r="Z548" s="547"/>
      <c r="AA548" s="547"/>
      <c r="AB548" s="547"/>
      <c r="AC548" s="547"/>
      <c r="AD548" s="547"/>
      <c r="AE548" s="547"/>
      <c r="AF548" s="547"/>
      <c r="AG548" s="547"/>
      <c r="AH548" s="547"/>
      <c r="AI548" s="547"/>
      <c r="AJ548" s="547"/>
      <c r="AK548" s="547"/>
      <c r="AL548" s="547"/>
      <c r="AM548" s="547"/>
      <c r="AN548" s="547"/>
      <c r="AO548" s="547"/>
      <c r="AP548" s="547"/>
      <c r="AQ548" s="547"/>
      <c r="AR548" s="547"/>
      <c r="AS548" s="547"/>
      <c r="AT548" s="547"/>
      <c r="AU548" s="547"/>
      <c r="AV548" s="547"/>
      <c r="AW548" s="547"/>
      <c r="AX548" s="547"/>
      <c r="AY548" s="547"/>
      <c r="AZ548" s="547"/>
      <c r="BA548" s="547"/>
      <c r="BB548" s="547"/>
      <c r="BC548" s="547"/>
      <c r="BD548" s="547"/>
      <c r="BE548" s="547"/>
      <c r="BF548" s="547"/>
      <c r="BG548" s="547"/>
      <c r="BH548" s="547"/>
      <c r="BI548" s="547"/>
      <c r="BJ548" s="547"/>
      <c r="BK548" s="547"/>
      <c r="BL548" s="547"/>
      <c r="BM548" s="547"/>
      <c r="BN548" s="547"/>
      <c r="BO548" s="547"/>
      <c r="BP548" s="547"/>
      <c r="BQ548" s="547"/>
      <c r="BR548" s="547"/>
      <c r="BS548" s="547"/>
      <c r="BT548" s="547"/>
      <c r="BU548" s="547"/>
      <c r="BV548" s="547"/>
      <c r="BW548" s="547"/>
      <c r="BX548" s="547"/>
      <c r="BY548" s="547"/>
      <c r="BZ548" s="547"/>
      <c r="CA548" s="547"/>
      <c r="CB548" s="547"/>
      <c r="CC548" s="547"/>
    </row>
    <row r="549" spans="1:81">
      <c r="A549" s="547"/>
      <c r="B549" s="547"/>
      <c r="C549" s="547"/>
      <c r="D549" s="547"/>
      <c r="E549" s="547"/>
      <c r="F549" s="547"/>
      <c r="G549" s="547"/>
      <c r="H549" s="547"/>
      <c r="I549" s="547"/>
      <c r="J549" s="547"/>
      <c r="K549" s="547"/>
      <c r="L549" s="547"/>
      <c r="M549" s="547"/>
      <c r="N549" s="547"/>
      <c r="O549" s="547"/>
      <c r="P549" s="547"/>
      <c r="Q549" s="547"/>
      <c r="R549" s="547"/>
      <c r="S549" s="547"/>
      <c r="T549" s="547"/>
      <c r="U549" s="547"/>
      <c r="V549" s="547"/>
      <c r="W549" s="547"/>
      <c r="X549" s="547"/>
      <c r="Y549" s="547"/>
      <c r="Z549" s="547"/>
      <c r="AA549" s="547"/>
      <c r="AB549" s="547"/>
      <c r="AC549" s="547"/>
      <c r="AD549" s="547"/>
      <c r="AE549" s="547"/>
      <c r="AF549" s="547"/>
      <c r="AG549" s="547"/>
      <c r="AH549" s="547"/>
      <c r="AI549" s="547"/>
      <c r="AJ549" s="547"/>
      <c r="AK549" s="547"/>
      <c r="AL549" s="547"/>
      <c r="AM549" s="547"/>
      <c r="AN549" s="547"/>
      <c r="AO549" s="547"/>
      <c r="AP549" s="547"/>
      <c r="AQ549" s="547"/>
      <c r="AR549" s="547"/>
      <c r="AS549" s="547"/>
      <c r="AT549" s="547"/>
      <c r="AU549" s="547"/>
      <c r="AV549" s="547"/>
      <c r="AW549" s="547"/>
      <c r="AX549" s="547"/>
      <c r="AY549" s="547"/>
      <c r="AZ549" s="547"/>
      <c r="BA549" s="547"/>
      <c r="BB549" s="547"/>
      <c r="BC549" s="547"/>
      <c r="BD549" s="547"/>
      <c r="BE549" s="547"/>
      <c r="BF549" s="547"/>
      <c r="BG549" s="547"/>
      <c r="BH549" s="547"/>
      <c r="BI549" s="547"/>
      <c r="BJ549" s="547"/>
      <c r="BK549" s="547"/>
      <c r="BL549" s="547"/>
      <c r="BM549" s="547"/>
      <c r="BN549" s="547"/>
      <c r="BO549" s="547"/>
      <c r="BP549" s="547"/>
      <c r="BQ549" s="547"/>
      <c r="BR549" s="547"/>
      <c r="BS549" s="547"/>
      <c r="BT549" s="547"/>
      <c r="BU549" s="547"/>
      <c r="BV549" s="547"/>
      <c r="BW549" s="547"/>
      <c r="BX549" s="547"/>
      <c r="BY549" s="547"/>
      <c r="BZ549" s="547"/>
      <c r="CA549" s="547"/>
      <c r="CB549" s="547"/>
      <c r="CC549" s="547"/>
    </row>
    <row r="550" spans="1:81">
      <c r="A550" s="547"/>
      <c r="B550" s="547"/>
      <c r="C550" s="547"/>
      <c r="D550" s="547"/>
      <c r="E550" s="547"/>
      <c r="F550" s="547"/>
      <c r="G550" s="547"/>
      <c r="H550" s="547"/>
      <c r="I550" s="547"/>
      <c r="J550" s="547"/>
      <c r="K550" s="547"/>
      <c r="L550" s="547"/>
      <c r="M550" s="547"/>
      <c r="N550" s="547"/>
      <c r="O550" s="547"/>
      <c r="P550" s="547"/>
      <c r="Q550" s="547"/>
      <c r="R550" s="547"/>
      <c r="S550" s="547"/>
      <c r="T550" s="547"/>
      <c r="U550" s="547"/>
      <c r="V550" s="547"/>
      <c r="W550" s="547"/>
      <c r="X550" s="547"/>
      <c r="Y550" s="547"/>
      <c r="Z550" s="547"/>
      <c r="AA550" s="547"/>
      <c r="AB550" s="547"/>
      <c r="AC550" s="547"/>
      <c r="AD550" s="547"/>
      <c r="AE550" s="547"/>
      <c r="AF550" s="547"/>
      <c r="AG550" s="547"/>
      <c r="AH550" s="547"/>
      <c r="AI550" s="547"/>
      <c r="AJ550" s="547"/>
      <c r="AK550" s="547"/>
      <c r="AL550" s="547"/>
      <c r="AM550" s="547"/>
      <c r="AN550" s="547"/>
      <c r="AO550" s="547"/>
      <c r="AP550" s="547"/>
      <c r="AQ550" s="547"/>
      <c r="AR550" s="547"/>
      <c r="AS550" s="547"/>
      <c r="AT550" s="547"/>
      <c r="AU550" s="547"/>
      <c r="AV550" s="547"/>
      <c r="AW550" s="547"/>
      <c r="AX550" s="547"/>
      <c r="AY550" s="547"/>
      <c r="AZ550" s="547"/>
      <c r="BA550" s="547"/>
      <c r="BB550" s="547"/>
      <c r="BC550" s="547"/>
      <c r="BD550" s="547"/>
      <c r="BE550" s="547"/>
      <c r="BF550" s="547"/>
      <c r="BG550" s="547"/>
      <c r="BH550" s="547"/>
      <c r="BI550" s="547"/>
      <c r="BJ550" s="547"/>
      <c r="BK550" s="547"/>
      <c r="BL550" s="547"/>
      <c r="BM550" s="547"/>
      <c r="BN550" s="547"/>
      <c r="BO550" s="547"/>
      <c r="BP550" s="547"/>
      <c r="BQ550" s="547"/>
      <c r="BR550" s="547"/>
      <c r="BS550" s="547"/>
      <c r="BT550" s="547"/>
      <c r="BU550" s="547"/>
      <c r="BV550" s="547"/>
      <c r="BW550" s="547"/>
      <c r="BX550" s="547"/>
      <c r="BY550" s="547"/>
      <c r="BZ550" s="547"/>
      <c r="CA550" s="547"/>
      <c r="CB550" s="547"/>
      <c r="CC550" s="547"/>
    </row>
    <row r="551" spans="1:81">
      <c r="A551" s="547"/>
      <c r="B551" s="547"/>
      <c r="C551" s="547"/>
      <c r="D551" s="547"/>
      <c r="E551" s="547"/>
      <c r="F551" s="547"/>
      <c r="G551" s="547"/>
      <c r="H551" s="547"/>
      <c r="I551" s="547"/>
      <c r="J551" s="547"/>
      <c r="K551" s="547"/>
      <c r="L551" s="547"/>
      <c r="M551" s="547"/>
      <c r="N551" s="547"/>
      <c r="O551" s="547"/>
      <c r="P551" s="547"/>
      <c r="Q551" s="547"/>
      <c r="R551" s="547"/>
      <c r="S551" s="547"/>
      <c r="T551" s="547"/>
      <c r="U551" s="547"/>
      <c r="V551" s="547"/>
      <c r="W551" s="547"/>
      <c r="X551" s="547"/>
      <c r="Y551" s="547"/>
      <c r="Z551" s="547"/>
      <c r="AA551" s="547"/>
      <c r="AB551" s="547"/>
      <c r="AC551" s="547"/>
      <c r="AD551" s="547"/>
      <c r="AE551" s="547"/>
      <c r="AF551" s="547"/>
      <c r="AG551" s="547"/>
      <c r="AH551" s="547"/>
      <c r="AI551" s="547"/>
      <c r="AJ551" s="547"/>
      <c r="AK551" s="547"/>
      <c r="AL551" s="547"/>
      <c r="AM551" s="547"/>
      <c r="AN551" s="547"/>
      <c r="AO551" s="547"/>
      <c r="AP551" s="547"/>
      <c r="AQ551" s="547"/>
      <c r="AR551" s="547"/>
      <c r="AS551" s="547"/>
      <c r="AT551" s="547"/>
      <c r="AU551" s="547"/>
      <c r="AV551" s="547"/>
      <c r="AW551" s="547"/>
      <c r="AX551" s="547"/>
      <c r="AY551" s="547"/>
      <c r="AZ551" s="547"/>
      <c r="BA551" s="547"/>
      <c r="BB551" s="547"/>
      <c r="BC551" s="547"/>
      <c r="BD551" s="547"/>
      <c r="BE551" s="547"/>
      <c r="BF551" s="547"/>
      <c r="BG551" s="547"/>
      <c r="BH551" s="547"/>
      <c r="BI551" s="547"/>
      <c r="BJ551" s="547"/>
      <c r="BK551" s="547"/>
      <c r="BL551" s="547"/>
      <c r="BM551" s="547"/>
      <c r="BN551" s="547"/>
      <c r="BO551" s="547"/>
      <c r="BP551" s="547"/>
      <c r="BQ551" s="547"/>
      <c r="BR551" s="547"/>
      <c r="BS551" s="547"/>
      <c r="BT551" s="547"/>
      <c r="BU551" s="547"/>
      <c r="BV551" s="547"/>
      <c r="BW551" s="547"/>
      <c r="BX551" s="547"/>
      <c r="BY551" s="547"/>
      <c r="BZ551" s="547"/>
      <c r="CA551" s="547"/>
      <c r="CB551" s="547"/>
      <c r="CC551" s="547"/>
    </row>
    <row r="552" spans="1:81">
      <c r="A552" s="547"/>
      <c r="B552" s="547"/>
      <c r="C552" s="547"/>
      <c r="D552" s="547"/>
      <c r="E552" s="547"/>
      <c r="F552" s="547"/>
      <c r="G552" s="547"/>
      <c r="H552" s="547"/>
      <c r="I552" s="547"/>
      <c r="J552" s="547"/>
      <c r="K552" s="547"/>
      <c r="L552" s="547"/>
      <c r="M552" s="547"/>
      <c r="N552" s="547"/>
      <c r="O552" s="547"/>
      <c r="P552" s="547"/>
      <c r="Q552" s="547"/>
      <c r="R552" s="547"/>
      <c r="S552" s="547"/>
      <c r="T552" s="547"/>
      <c r="U552" s="547"/>
      <c r="V552" s="547"/>
      <c r="W552" s="547"/>
      <c r="X552" s="547"/>
      <c r="Y552" s="547"/>
      <c r="Z552" s="547"/>
      <c r="AA552" s="547"/>
      <c r="AB552" s="547"/>
      <c r="AC552" s="547"/>
      <c r="AD552" s="547"/>
      <c r="AE552" s="547"/>
      <c r="AF552" s="547"/>
      <c r="AG552" s="547"/>
      <c r="AH552" s="547"/>
      <c r="AI552" s="547"/>
      <c r="AJ552" s="547"/>
      <c r="AK552" s="547"/>
      <c r="AL552" s="547"/>
      <c r="AM552" s="547"/>
      <c r="AN552" s="547"/>
      <c r="AO552" s="547"/>
      <c r="AP552" s="547"/>
      <c r="AQ552" s="547"/>
      <c r="AR552" s="547"/>
      <c r="AS552" s="547"/>
      <c r="AT552" s="547"/>
      <c r="AU552" s="547"/>
      <c r="AV552" s="547"/>
      <c r="AW552" s="547"/>
      <c r="AX552" s="547"/>
      <c r="AY552" s="547"/>
      <c r="AZ552" s="547"/>
      <c r="BA552" s="547"/>
      <c r="BB552" s="547"/>
      <c r="BC552" s="547"/>
      <c r="BD552" s="547"/>
      <c r="BE552" s="547"/>
      <c r="BF552" s="547"/>
      <c r="BG552" s="547"/>
      <c r="BH552" s="547"/>
      <c r="BI552" s="547"/>
      <c r="BJ552" s="547"/>
      <c r="BK552" s="547"/>
      <c r="BL552" s="547"/>
      <c r="BM552" s="547"/>
      <c r="BN552" s="547"/>
      <c r="BO552" s="547"/>
      <c r="BP552" s="547"/>
      <c r="BQ552" s="547"/>
      <c r="BR552" s="547"/>
      <c r="BS552" s="547"/>
      <c r="BT552" s="547"/>
      <c r="BU552" s="547"/>
      <c r="BV552" s="547"/>
      <c r="BW552" s="547"/>
      <c r="BX552" s="547"/>
      <c r="BY552" s="547"/>
      <c r="BZ552" s="547"/>
      <c r="CA552" s="547"/>
      <c r="CB552" s="547"/>
      <c r="CC552" s="547"/>
    </row>
    <row r="553" spans="1:81">
      <c r="A553" s="547"/>
      <c r="B553" s="547"/>
      <c r="C553" s="547"/>
      <c r="D553" s="547"/>
      <c r="E553" s="547"/>
      <c r="F553" s="547"/>
      <c r="G553" s="547"/>
      <c r="H553" s="547"/>
      <c r="I553" s="547"/>
      <c r="J553" s="547"/>
      <c r="K553" s="547"/>
      <c r="L553" s="547"/>
      <c r="M553" s="547"/>
      <c r="N553" s="547"/>
      <c r="O553" s="547"/>
      <c r="P553" s="547"/>
      <c r="Q553" s="547"/>
      <c r="R553" s="547"/>
      <c r="S553" s="547"/>
      <c r="T553" s="547"/>
      <c r="U553" s="547"/>
      <c r="V553" s="547"/>
      <c r="W553" s="547"/>
      <c r="X553" s="547"/>
      <c r="Y553" s="547"/>
      <c r="Z553" s="547"/>
      <c r="AA553" s="547"/>
      <c r="AB553" s="547"/>
      <c r="AC553" s="547"/>
      <c r="AD553" s="547"/>
      <c r="AE553" s="547"/>
      <c r="AF553" s="547"/>
      <c r="AG553" s="547"/>
      <c r="AH553" s="547"/>
      <c r="AI553" s="547"/>
      <c r="AJ553" s="547"/>
      <c r="AK553" s="547"/>
      <c r="AL553" s="547"/>
      <c r="AM553" s="547"/>
      <c r="AN553" s="547"/>
      <c r="AO553" s="547"/>
      <c r="AP553" s="547"/>
      <c r="AQ553" s="547"/>
      <c r="AR553" s="547"/>
      <c r="AS553" s="547"/>
      <c r="AT553" s="547"/>
      <c r="AU553" s="547"/>
      <c r="AV553" s="547"/>
      <c r="AW553" s="547"/>
      <c r="AX553" s="547"/>
      <c r="AY553" s="547"/>
      <c r="AZ553" s="547"/>
      <c r="BA553" s="547"/>
      <c r="BB553" s="547"/>
      <c r="BC553" s="547"/>
      <c r="BD553" s="547"/>
      <c r="BE553" s="547"/>
      <c r="BF553" s="547"/>
      <c r="BG553" s="547"/>
      <c r="BH553" s="547"/>
      <c r="BI553" s="547"/>
      <c r="BJ553" s="547"/>
      <c r="BK553" s="547"/>
      <c r="BL553" s="547"/>
      <c r="BM553" s="547"/>
      <c r="BN553" s="547"/>
      <c r="BO553" s="547"/>
      <c r="BP553" s="547"/>
      <c r="BQ553" s="547"/>
      <c r="BR553" s="547"/>
      <c r="BS553" s="547"/>
      <c r="BT553" s="547"/>
      <c r="BU553" s="547"/>
      <c r="BV553" s="547"/>
      <c r="BW553" s="547"/>
      <c r="BX553" s="547"/>
      <c r="BY553" s="547"/>
      <c r="BZ553" s="547"/>
      <c r="CA553" s="547"/>
      <c r="CB553" s="547"/>
      <c r="CC553" s="547"/>
    </row>
    <row r="554" spans="1:81">
      <c r="A554" s="547"/>
      <c r="B554" s="547"/>
      <c r="C554" s="547"/>
      <c r="D554" s="547"/>
      <c r="E554" s="547"/>
      <c r="F554" s="547"/>
      <c r="G554" s="547"/>
      <c r="H554" s="547"/>
      <c r="I554" s="547"/>
      <c r="J554" s="547"/>
      <c r="K554" s="547"/>
      <c r="L554" s="547"/>
      <c r="M554" s="547"/>
      <c r="N554" s="547"/>
      <c r="O554" s="547"/>
      <c r="P554" s="547"/>
      <c r="Q554" s="547"/>
      <c r="R554" s="547"/>
      <c r="S554" s="547"/>
      <c r="T554" s="547"/>
      <c r="U554" s="547"/>
      <c r="V554" s="547"/>
      <c r="W554" s="547"/>
      <c r="X554" s="547"/>
      <c r="Y554" s="547"/>
      <c r="Z554" s="547"/>
      <c r="AA554" s="547"/>
      <c r="AB554" s="547"/>
      <c r="AC554" s="547"/>
      <c r="AD554" s="547"/>
      <c r="AE554" s="547"/>
      <c r="AF554" s="547"/>
      <c r="AG554" s="547"/>
      <c r="AH554" s="547"/>
      <c r="AI554" s="547"/>
      <c r="AJ554" s="547"/>
      <c r="AK554" s="547"/>
      <c r="AL554" s="547"/>
      <c r="AM554" s="547"/>
      <c r="AN554" s="547"/>
      <c r="AO554" s="547"/>
      <c r="AP554" s="547"/>
      <c r="AQ554" s="547"/>
      <c r="AR554" s="547"/>
      <c r="AS554" s="547"/>
      <c r="AT554" s="547"/>
      <c r="AU554" s="547"/>
      <c r="AV554" s="547"/>
      <c r="AW554" s="547"/>
      <c r="AX554" s="547"/>
      <c r="AY554" s="547"/>
      <c r="AZ554" s="547"/>
      <c r="BA554" s="547"/>
      <c r="BB554" s="547"/>
      <c r="BC554" s="547"/>
      <c r="BD554" s="547"/>
      <c r="BE554" s="547"/>
      <c r="BF554" s="547"/>
      <c r="BG554" s="547"/>
      <c r="BH554" s="547"/>
      <c r="BI554" s="547"/>
      <c r="BJ554" s="547"/>
      <c r="BK554" s="547"/>
      <c r="BL554" s="547"/>
      <c r="BM554" s="547"/>
      <c r="BN554" s="547"/>
      <c r="BO554" s="547"/>
      <c r="BP554" s="547"/>
      <c r="BQ554" s="547"/>
      <c r="BR554" s="547"/>
      <c r="BS554" s="547"/>
      <c r="BT554" s="547"/>
      <c r="BU554" s="547"/>
      <c r="BV554" s="547"/>
      <c r="BW554" s="547"/>
      <c r="BX554" s="547"/>
      <c r="BY554" s="547"/>
      <c r="BZ554" s="547"/>
      <c r="CA554" s="547"/>
      <c r="CB554" s="547"/>
      <c r="CC554" s="547"/>
    </row>
    <row r="555" spans="1:81">
      <c r="A555" s="547"/>
      <c r="B555" s="547"/>
      <c r="C555" s="547"/>
      <c r="D555" s="547"/>
      <c r="E555" s="547"/>
      <c r="F555" s="547"/>
      <c r="G555" s="547"/>
      <c r="H555" s="547"/>
      <c r="I555" s="547"/>
      <c r="J555" s="547"/>
      <c r="K555" s="547"/>
      <c r="L555" s="547"/>
      <c r="M555" s="547"/>
      <c r="N555" s="547"/>
      <c r="O555" s="547"/>
      <c r="P555" s="547"/>
      <c r="Q555" s="547"/>
      <c r="R555" s="547"/>
      <c r="S555" s="547"/>
      <c r="T555" s="547"/>
      <c r="U555" s="547"/>
      <c r="V555" s="547"/>
      <c r="W555" s="547"/>
      <c r="X555" s="547"/>
      <c r="Y555" s="547"/>
      <c r="Z555" s="547"/>
      <c r="AA555" s="547"/>
      <c r="AB555" s="547"/>
      <c r="AC555" s="547"/>
      <c r="AD555" s="547"/>
      <c r="AE555" s="547"/>
      <c r="AF555" s="547"/>
      <c r="AG555" s="547"/>
      <c r="AH555" s="547"/>
      <c r="AI555" s="547"/>
      <c r="AJ555" s="547"/>
      <c r="AK555" s="547"/>
      <c r="AL555" s="547"/>
      <c r="AM555" s="547"/>
      <c r="AN555" s="547"/>
      <c r="AO555" s="547"/>
      <c r="AP555" s="547"/>
      <c r="AQ555" s="547"/>
      <c r="AR555" s="547"/>
      <c r="AS555" s="547"/>
      <c r="AT555" s="547"/>
      <c r="AU555" s="547"/>
      <c r="AV555" s="547"/>
      <c r="AW555" s="547"/>
      <c r="AX555" s="547"/>
      <c r="AY555" s="547"/>
      <c r="AZ555" s="547"/>
      <c r="BA555" s="547"/>
      <c r="BB555" s="547"/>
      <c r="BC555" s="547"/>
      <c r="BD555" s="547"/>
      <c r="BE555" s="547"/>
      <c r="BF555" s="547"/>
      <c r="BG555" s="547"/>
      <c r="BH555" s="547"/>
      <c r="BI555" s="547"/>
      <c r="BJ555" s="547"/>
      <c r="BK555" s="547"/>
      <c r="BL555" s="547"/>
      <c r="BM555" s="547"/>
      <c r="BN555" s="547"/>
      <c r="BO555" s="547"/>
      <c r="BP555" s="547"/>
      <c r="BQ555" s="547"/>
      <c r="BR555" s="547"/>
      <c r="BS555" s="547"/>
      <c r="BT555" s="547"/>
      <c r="BU555" s="547"/>
      <c r="BV555" s="547"/>
      <c r="BW555" s="547"/>
      <c r="BX555" s="547"/>
      <c r="BY555" s="547"/>
      <c r="BZ555" s="547"/>
      <c r="CA555" s="547"/>
      <c r="CB555" s="547"/>
      <c r="CC555" s="547"/>
    </row>
    <row r="556" spans="1:81">
      <c r="A556" s="547"/>
      <c r="B556" s="547"/>
      <c r="C556" s="547"/>
      <c r="D556" s="547"/>
      <c r="E556" s="547"/>
      <c r="F556" s="547"/>
      <c r="G556" s="547"/>
      <c r="H556" s="547"/>
      <c r="I556" s="547"/>
      <c r="J556" s="547"/>
      <c r="K556" s="547"/>
      <c r="L556" s="547"/>
      <c r="M556" s="547"/>
      <c r="N556" s="547"/>
      <c r="O556" s="547"/>
      <c r="P556" s="547"/>
      <c r="Q556" s="547"/>
      <c r="R556" s="547"/>
      <c r="S556" s="547"/>
      <c r="T556" s="547"/>
      <c r="U556" s="547"/>
      <c r="V556" s="547"/>
      <c r="W556" s="547"/>
      <c r="X556" s="547"/>
      <c r="Y556" s="547"/>
      <c r="Z556" s="547"/>
      <c r="AA556" s="547"/>
      <c r="AB556" s="547"/>
      <c r="AC556" s="547"/>
      <c r="AD556" s="547"/>
      <c r="AE556" s="547"/>
      <c r="AF556" s="547"/>
      <c r="AG556" s="547"/>
      <c r="AH556" s="547"/>
      <c r="AI556" s="547"/>
      <c r="AJ556" s="547"/>
      <c r="AK556" s="547"/>
      <c r="AL556" s="547"/>
      <c r="AM556" s="547"/>
      <c r="AN556" s="547"/>
      <c r="AO556" s="547"/>
      <c r="AP556" s="547"/>
      <c r="AQ556" s="547"/>
      <c r="AR556" s="547"/>
      <c r="AS556" s="547"/>
      <c r="AT556" s="547"/>
      <c r="AU556" s="547"/>
      <c r="AV556" s="547"/>
      <c r="AW556" s="547"/>
      <c r="AX556" s="547"/>
      <c r="AY556" s="547"/>
      <c r="AZ556" s="547"/>
      <c r="BA556" s="547"/>
      <c r="BB556" s="547"/>
      <c r="BC556" s="547"/>
      <c r="BD556" s="547"/>
      <c r="BE556" s="547"/>
      <c r="BF556" s="547"/>
      <c r="BG556" s="547"/>
      <c r="BH556" s="547"/>
      <c r="BI556" s="547"/>
      <c r="BJ556" s="547"/>
      <c r="BK556" s="547"/>
      <c r="BL556" s="547"/>
      <c r="BM556" s="547"/>
      <c r="BN556" s="547"/>
      <c r="BO556" s="547"/>
      <c r="BP556" s="547"/>
      <c r="BQ556" s="547"/>
      <c r="BR556" s="547"/>
      <c r="BS556" s="547"/>
      <c r="BT556" s="547"/>
      <c r="BU556" s="547"/>
      <c r="BV556" s="547"/>
      <c r="BW556" s="547"/>
      <c r="BX556" s="547"/>
      <c r="BY556" s="547"/>
      <c r="BZ556" s="547"/>
      <c r="CA556" s="547"/>
      <c r="CB556" s="547"/>
      <c r="CC556" s="547"/>
    </row>
    <row r="557" spans="1:81">
      <c r="A557" s="547"/>
      <c r="B557" s="547"/>
      <c r="C557" s="547"/>
      <c r="D557" s="547"/>
      <c r="E557" s="547"/>
      <c r="F557" s="547"/>
      <c r="G557" s="547"/>
      <c r="H557" s="547"/>
      <c r="I557" s="547"/>
      <c r="J557" s="547"/>
      <c r="K557" s="547"/>
      <c r="L557" s="547"/>
      <c r="M557" s="547"/>
      <c r="N557" s="547"/>
      <c r="O557" s="547"/>
      <c r="P557" s="547"/>
      <c r="Q557" s="547"/>
      <c r="R557" s="547"/>
      <c r="S557" s="547"/>
      <c r="T557" s="547"/>
      <c r="U557" s="547"/>
      <c r="V557" s="547"/>
      <c r="W557" s="547"/>
      <c r="X557" s="547"/>
      <c r="Y557" s="547"/>
      <c r="Z557" s="547"/>
      <c r="AA557" s="547"/>
      <c r="AB557" s="547"/>
      <c r="AC557" s="547"/>
      <c r="AD557" s="547"/>
      <c r="AE557" s="547"/>
      <c r="AF557" s="547"/>
      <c r="AG557" s="547"/>
      <c r="AH557" s="547"/>
      <c r="AI557" s="547"/>
      <c r="AJ557" s="547"/>
      <c r="AK557" s="547"/>
      <c r="AL557" s="547"/>
      <c r="AM557" s="547"/>
      <c r="AN557" s="547"/>
      <c r="AO557" s="547"/>
      <c r="AP557" s="547"/>
      <c r="AQ557" s="547"/>
      <c r="AR557" s="547"/>
      <c r="AS557" s="547"/>
      <c r="AT557" s="547"/>
      <c r="AU557" s="547"/>
      <c r="AV557" s="547"/>
      <c r="AW557" s="547"/>
      <c r="AX557" s="547"/>
      <c r="AY557" s="547"/>
      <c r="AZ557" s="547"/>
      <c r="BA557" s="547"/>
      <c r="BB557" s="547"/>
      <c r="BC557" s="547"/>
      <c r="BD557" s="547"/>
      <c r="BE557" s="547"/>
      <c r="BF557" s="547"/>
      <c r="BG557" s="547"/>
      <c r="BH557" s="547"/>
      <c r="BI557" s="547"/>
      <c r="BJ557" s="547"/>
      <c r="BK557" s="547"/>
      <c r="BL557" s="547"/>
      <c r="BM557" s="547"/>
      <c r="BN557" s="547"/>
      <c r="BO557" s="547"/>
      <c r="BP557" s="547"/>
      <c r="BQ557" s="547"/>
      <c r="BR557" s="547"/>
      <c r="BS557" s="547"/>
      <c r="BT557" s="547"/>
      <c r="BU557" s="547"/>
      <c r="BV557" s="547"/>
      <c r="BW557" s="547"/>
      <c r="BX557" s="547"/>
      <c r="BY557" s="547"/>
      <c r="BZ557" s="547"/>
      <c r="CA557" s="547"/>
      <c r="CB557" s="547"/>
      <c r="CC557" s="547"/>
    </row>
    <row r="558" spans="1:81">
      <c r="A558" s="547"/>
      <c r="B558" s="547"/>
      <c r="C558" s="547"/>
      <c r="D558" s="547"/>
      <c r="E558" s="547"/>
      <c r="F558" s="547"/>
      <c r="G558" s="547"/>
      <c r="H558" s="547"/>
      <c r="I558" s="547"/>
      <c r="J558" s="547"/>
      <c r="K558" s="547"/>
      <c r="L558" s="547"/>
      <c r="M558" s="547"/>
      <c r="N558" s="547"/>
      <c r="O558" s="547"/>
      <c r="P558" s="547"/>
      <c r="Q558" s="547"/>
      <c r="R558" s="547"/>
      <c r="S558" s="547"/>
      <c r="T558" s="547"/>
      <c r="U558" s="547"/>
      <c r="V558" s="547"/>
      <c r="W558" s="547"/>
      <c r="X558" s="547"/>
      <c r="Y558" s="547"/>
      <c r="Z558" s="547"/>
      <c r="AA558" s="547"/>
      <c r="AB558" s="547"/>
      <c r="AC558" s="547"/>
      <c r="AD558" s="547"/>
      <c r="AE558" s="547"/>
      <c r="AF558" s="547"/>
      <c r="AG558" s="547"/>
      <c r="AH558" s="547"/>
      <c r="AI558" s="547"/>
      <c r="AJ558" s="547"/>
      <c r="AK558" s="547"/>
      <c r="AL558" s="547"/>
      <c r="AM558" s="547"/>
      <c r="AN558" s="547"/>
      <c r="AO558" s="547"/>
      <c r="AP558" s="547"/>
      <c r="AQ558" s="547"/>
      <c r="AR558" s="547"/>
      <c r="AS558" s="547"/>
      <c r="AT558" s="547"/>
      <c r="AU558" s="547"/>
      <c r="AV558" s="547"/>
      <c r="AW558" s="547"/>
      <c r="AX558" s="547"/>
      <c r="AY558" s="547"/>
      <c r="AZ558" s="547"/>
      <c r="BA558" s="547"/>
      <c r="BB558" s="547"/>
      <c r="BC558" s="547"/>
      <c r="BD558" s="547"/>
      <c r="BE558" s="547"/>
      <c r="BF558" s="547"/>
      <c r="BG558" s="547"/>
      <c r="BH558" s="547"/>
      <c r="BI558" s="547"/>
      <c r="BJ558" s="547"/>
      <c r="BK558" s="547"/>
      <c r="BL558" s="547"/>
      <c r="BM558" s="547"/>
      <c r="BN558" s="547"/>
      <c r="BO558" s="547"/>
      <c r="BP558" s="547"/>
      <c r="BQ558" s="547"/>
      <c r="BR558" s="547"/>
      <c r="BS558" s="547"/>
      <c r="BT558" s="547"/>
      <c r="BU558" s="547"/>
      <c r="BV558" s="547"/>
      <c r="BW558" s="547"/>
      <c r="BX558" s="547"/>
      <c r="BY558" s="547"/>
      <c r="BZ558" s="547"/>
      <c r="CA558" s="547"/>
      <c r="CB558" s="547"/>
      <c r="CC558" s="547"/>
    </row>
    <row r="559" spans="1:81">
      <c r="A559" s="547"/>
      <c r="B559" s="547"/>
      <c r="C559" s="547"/>
      <c r="D559" s="547"/>
      <c r="E559" s="547"/>
      <c r="F559" s="547"/>
      <c r="G559" s="547"/>
      <c r="H559" s="547"/>
      <c r="I559" s="547"/>
      <c r="J559" s="547"/>
      <c r="K559" s="547"/>
      <c r="L559" s="547"/>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c r="AK559" s="547"/>
      <c r="AL559" s="547"/>
      <c r="AM559" s="547"/>
      <c r="AN559" s="547"/>
      <c r="AO559" s="547"/>
      <c r="AP559" s="547"/>
      <c r="AQ559" s="547"/>
      <c r="AR559" s="547"/>
      <c r="AS559" s="547"/>
      <c r="AT559" s="547"/>
      <c r="AU559" s="547"/>
      <c r="AV559" s="547"/>
      <c r="AW559" s="547"/>
      <c r="AX559" s="547"/>
      <c r="AY559" s="547"/>
      <c r="AZ559" s="547"/>
      <c r="BA559" s="547"/>
      <c r="BB559" s="547"/>
      <c r="BC559" s="547"/>
      <c r="BD559" s="547"/>
      <c r="BE559" s="547"/>
      <c r="BF559" s="547"/>
      <c r="BG559" s="547"/>
      <c r="BH559" s="547"/>
      <c r="BI559" s="547"/>
      <c r="BJ559" s="547"/>
      <c r="BK559" s="547"/>
      <c r="BL559" s="547"/>
      <c r="BM559" s="547"/>
      <c r="BN559" s="547"/>
      <c r="BO559" s="547"/>
      <c r="BP559" s="547"/>
      <c r="BQ559" s="547"/>
      <c r="BR559" s="547"/>
      <c r="BS559" s="547"/>
      <c r="BT559" s="547"/>
      <c r="BU559" s="547"/>
      <c r="BV559" s="547"/>
      <c r="BW559" s="547"/>
      <c r="BX559" s="547"/>
      <c r="BY559" s="547"/>
      <c r="BZ559" s="547"/>
      <c r="CA559" s="547"/>
      <c r="CB559" s="547"/>
      <c r="CC559" s="547"/>
    </row>
    <row r="560" spans="1:81">
      <c r="A560" s="547"/>
      <c r="B560" s="547"/>
      <c r="C560" s="547"/>
      <c r="D560" s="547"/>
      <c r="E560" s="547"/>
      <c r="F560" s="547"/>
      <c r="G560" s="547"/>
      <c r="H560" s="547"/>
      <c r="I560" s="547"/>
      <c r="J560" s="547"/>
      <c r="K560" s="547"/>
      <c r="L560" s="547"/>
      <c r="M560" s="547"/>
      <c r="N560" s="547"/>
      <c r="O560" s="547"/>
      <c r="P560" s="547"/>
      <c r="Q560" s="547"/>
      <c r="R560" s="547"/>
      <c r="S560" s="547"/>
      <c r="T560" s="547"/>
      <c r="U560" s="547"/>
      <c r="V560" s="547"/>
      <c r="W560" s="547"/>
      <c r="X560" s="547"/>
      <c r="Y560" s="547"/>
      <c r="Z560" s="547"/>
      <c r="AA560" s="547"/>
      <c r="AB560" s="547"/>
      <c r="AC560" s="547"/>
      <c r="AD560" s="547"/>
      <c r="AE560" s="547"/>
      <c r="AF560" s="547"/>
      <c r="AG560" s="547"/>
      <c r="AH560" s="547"/>
      <c r="AI560" s="547"/>
      <c r="AJ560" s="547"/>
      <c r="AK560" s="547"/>
      <c r="AL560" s="547"/>
      <c r="AM560" s="547"/>
      <c r="AN560" s="547"/>
      <c r="AO560" s="547"/>
      <c r="AP560" s="547"/>
      <c r="AQ560" s="547"/>
      <c r="AR560" s="547"/>
      <c r="AS560" s="547"/>
      <c r="AT560" s="547"/>
      <c r="AU560" s="547"/>
      <c r="AV560" s="547"/>
      <c r="AW560" s="547"/>
      <c r="AX560" s="547"/>
      <c r="AY560" s="547"/>
      <c r="AZ560" s="547"/>
      <c r="BA560" s="547"/>
      <c r="BB560" s="547"/>
      <c r="BC560" s="547"/>
      <c r="BD560" s="547"/>
      <c r="BE560" s="547"/>
      <c r="BF560" s="547"/>
      <c r="BG560" s="547"/>
      <c r="BH560" s="547"/>
      <c r="BI560" s="547"/>
      <c r="BJ560" s="547"/>
      <c r="BK560" s="547"/>
      <c r="BL560" s="547"/>
      <c r="BM560" s="547"/>
      <c r="BN560" s="547"/>
      <c r="BO560" s="547"/>
      <c r="BP560" s="547"/>
      <c r="BQ560" s="547"/>
      <c r="BR560" s="547"/>
      <c r="BS560" s="547"/>
      <c r="BT560" s="547"/>
      <c r="BU560" s="547"/>
      <c r="BV560" s="547"/>
      <c r="BW560" s="547"/>
      <c r="BX560" s="547"/>
      <c r="BY560" s="547"/>
      <c r="BZ560" s="547"/>
      <c r="CA560" s="547"/>
      <c r="CB560" s="547"/>
      <c r="CC560" s="547"/>
    </row>
    <row r="561" spans="1:81">
      <c r="A561" s="547"/>
      <c r="B561" s="547"/>
      <c r="C561" s="547"/>
      <c r="D561" s="547"/>
      <c r="E561" s="547"/>
      <c r="F561" s="547"/>
      <c r="G561" s="547"/>
      <c r="H561" s="547"/>
      <c r="I561" s="547"/>
      <c r="J561" s="547"/>
      <c r="K561" s="547"/>
      <c r="L561" s="547"/>
      <c r="M561" s="547"/>
      <c r="N561" s="547"/>
      <c r="O561" s="547"/>
      <c r="P561" s="547"/>
      <c r="Q561" s="547"/>
      <c r="R561" s="547"/>
      <c r="S561" s="547"/>
      <c r="T561" s="547"/>
      <c r="U561" s="547"/>
      <c r="V561" s="547"/>
      <c r="W561" s="547"/>
      <c r="X561" s="547"/>
      <c r="Y561" s="547"/>
      <c r="Z561" s="547"/>
      <c r="AA561" s="547"/>
      <c r="AB561" s="547"/>
      <c r="AC561" s="547"/>
      <c r="AD561" s="547"/>
      <c r="AE561" s="547"/>
      <c r="AF561" s="547"/>
      <c r="AG561" s="547"/>
      <c r="AH561" s="547"/>
      <c r="AI561" s="547"/>
      <c r="AJ561" s="547"/>
      <c r="AK561" s="547"/>
      <c r="AL561" s="547"/>
      <c r="AM561" s="547"/>
      <c r="AN561" s="547"/>
      <c r="AO561" s="547"/>
      <c r="AP561" s="547"/>
      <c r="AQ561" s="547"/>
      <c r="AR561" s="547"/>
      <c r="AS561" s="547"/>
      <c r="AT561" s="547"/>
      <c r="AU561" s="547"/>
      <c r="AV561" s="547"/>
      <c r="AW561" s="547"/>
      <c r="AX561" s="547"/>
      <c r="AY561" s="547"/>
      <c r="AZ561" s="547"/>
      <c r="BA561" s="547"/>
      <c r="BB561" s="547"/>
      <c r="BC561" s="547"/>
      <c r="BD561" s="547"/>
      <c r="BE561" s="547"/>
      <c r="BF561" s="547"/>
      <c r="BG561" s="547"/>
      <c r="BH561" s="547"/>
      <c r="BI561" s="547"/>
      <c r="BJ561" s="547"/>
      <c r="BK561" s="547"/>
      <c r="BL561" s="547"/>
      <c r="BM561" s="547"/>
      <c r="BN561" s="547"/>
      <c r="BO561" s="547"/>
      <c r="BP561" s="547"/>
      <c r="BQ561" s="547"/>
      <c r="BR561" s="547"/>
      <c r="BS561" s="547"/>
      <c r="BT561" s="547"/>
      <c r="BU561" s="547"/>
      <c r="BV561" s="547"/>
      <c r="BW561" s="547"/>
      <c r="BX561" s="547"/>
      <c r="BY561" s="547"/>
      <c r="BZ561" s="547"/>
      <c r="CA561" s="547"/>
      <c r="CB561" s="547"/>
      <c r="CC561" s="547"/>
    </row>
    <row r="562" spans="1:81">
      <c r="A562" s="547"/>
      <c r="B562" s="547"/>
      <c r="C562" s="547"/>
      <c r="D562" s="547"/>
      <c r="E562" s="547"/>
      <c r="F562" s="547"/>
      <c r="G562" s="547"/>
      <c r="H562" s="547"/>
      <c r="I562" s="547"/>
      <c r="J562" s="547"/>
      <c r="K562" s="547"/>
      <c r="L562" s="547"/>
      <c r="M562" s="547"/>
      <c r="N562" s="547"/>
      <c r="O562" s="547"/>
      <c r="P562" s="547"/>
      <c r="Q562" s="547"/>
      <c r="R562" s="547"/>
      <c r="S562" s="547"/>
      <c r="T562" s="547"/>
      <c r="U562" s="547"/>
      <c r="V562" s="547"/>
      <c r="W562" s="547"/>
      <c r="X562" s="547"/>
      <c r="Y562" s="547"/>
      <c r="Z562" s="547"/>
      <c r="AA562" s="547"/>
      <c r="AB562" s="547"/>
      <c r="AC562" s="547"/>
      <c r="AD562" s="547"/>
      <c r="AE562" s="547"/>
      <c r="AF562" s="547"/>
      <c r="AG562" s="547"/>
      <c r="AH562" s="547"/>
      <c r="AI562" s="547"/>
      <c r="AJ562" s="547"/>
      <c r="AK562" s="547"/>
      <c r="AL562" s="547"/>
      <c r="AM562" s="547"/>
      <c r="AN562" s="547"/>
      <c r="AO562" s="547"/>
      <c r="AP562" s="547"/>
      <c r="AQ562" s="547"/>
      <c r="AR562" s="547"/>
      <c r="AS562" s="547"/>
      <c r="AT562" s="547"/>
      <c r="AU562" s="547"/>
      <c r="AV562" s="547"/>
      <c r="AW562" s="547"/>
      <c r="AX562" s="547"/>
      <c r="AY562" s="547"/>
      <c r="AZ562" s="547"/>
      <c r="BA562" s="547"/>
      <c r="BB562" s="547"/>
      <c r="BC562" s="547"/>
      <c r="BD562" s="547"/>
      <c r="BE562" s="547"/>
      <c r="BF562" s="547"/>
      <c r="BG562" s="547"/>
      <c r="BH562" s="547"/>
      <c r="BI562" s="547"/>
      <c r="BJ562" s="547"/>
      <c r="BK562" s="547"/>
      <c r="BL562" s="547"/>
      <c r="BM562" s="547"/>
      <c r="BN562" s="547"/>
      <c r="BO562" s="547"/>
      <c r="BP562" s="547"/>
      <c r="BQ562" s="547"/>
      <c r="BR562" s="547"/>
      <c r="BS562" s="547"/>
      <c r="BT562" s="547"/>
      <c r="BU562" s="547"/>
      <c r="BV562" s="547"/>
      <c r="BW562" s="547"/>
      <c r="BX562" s="547"/>
      <c r="BY562" s="547"/>
      <c r="BZ562" s="547"/>
      <c r="CA562" s="547"/>
      <c r="CB562" s="547"/>
      <c r="CC562" s="547"/>
    </row>
    <row r="563" spans="1:81">
      <c r="A563" s="547"/>
      <c r="B563" s="547"/>
      <c r="C563" s="547"/>
      <c r="D563" s="547"/>
      <c r="E563" s="547"/>
      <c r="F563" s="547"/>
      <c r="G563" s="547"/>
      <c r="H563" s="547"/>
      <c r="I563" s="547"/>
      <c r="J563" s="547"/>
      <c r="K563" s="547"/>
      <c r="L563" s="547"/>
      <c r="M563" s="547"/>
      <c r="N563" s="547"/>
      <c r="O563" s="547"/>
      <c r="P563" s="547"/>
      <c r="Q563" s="547"/>
      <c r="R563" s="547"/>
      <c r="S563" s="547"/>
      <c r="T563" s="547"/>
      <c r="U563" s="547"/>
      <c r="V563" s="547"/>
      <c r="W563" s="547"/>
      <c r="X563" s="547"/>
      <c r="Y563" s="547"/>
      <c r="Z563" s="547"/>
      <c r="AA563" s="547"/>
      <c r="AB563" s="547"/>
      <c r="AC563" s="547"/>
      <c r="AD563" s="547"/>
      <c r="AE563" s="547"/>
      <c r="AF563" s="547"/>
      <c r="AG563" s="547"/>
      <c r="AH563" s="547"/>
      <c r="AI563" s="547"/>
      <c r="AJ563" s="547"/>
      <c r="AK563" s="547"/>
      <c r="AL563" s="547"/>
      <c r="AM563" s="547"/>
      <c r="AN563" s="547"/>
      <c r="AO563" s="547"/>
      <c r="AP563" s="547"/>
      <c r="AQ563" s="547"/>
      <c r="AR563" s="547"/>
      <c r="AS563" s="547"/>
      <c r="AT563" s="547"/>
      <c r="AU563" s="547"/>
      <c r="AV563" s="547"/>
      <c r="AW563" s="547"/>
      <c r="AX563" s="547"/>
      <c r="AY563" s="547"/>
      <c r="AZ563" s="547"/>
      <c r="BA563" s="547"/>
      <c r="BB563" s="547"/>
      <c r="BC563" s="547"/>
      <c r="BD563" s="547"/>
      <c r="BE563" s="547"/>
      <c r="BF563" s="547"/>
      <c r="BG563" s="547"/>
      <c r="BH563" s="547"/>
      <c r="BI563" s="547"/>
      <c r="BJ563" s="547"/>
      <c r="BK563" s="547"/>
      <c r="BL563" s="547"/>
      <c r="BM563" s="547"/>
      <c r="BN563" s="547"/>
      <c r="BO563" s="547"/>
      <c r="BP563" s="547"/>
      <c r="BQ563" s="547"/>
      <c r="BR563" s="547"/>
      <c r="BS563" s="547"/>
      <c r="BT563" s="547"/>
      <c r="BU563" s="547"/>
      <c r="BV563" s="547"/>
      <c r="BW563" s="547"/>
      <c r="BX563" s="547"/>
      <c r="BY563" s="547"/>
      <c r="BZ563" s="547"/>
      <c r="CA563" s="547"/>
      <c r="CB563" s="547"/>
      <c r="CC563" s="547"/>
    </row>
    <row r="564" spans="1:81">
      <c r="A564" s="547"/>
      <c r="B564" s="547"/>
      <c r="C564" s="547"/>
      <c r="D564" s="547"/>
      <c r="E564" s="547"/>
      <c r="F564" s="547"/>
      <c r="G564" s="547"/>
      <c r="H564" s="547"/>
      <c r="I564" s="547"/>
      <c r="J564" s="547"/>
      <c r="K564" s="547"/>
      <c r="L564" s="547"/>
      <c r="M564" s="547"/>
      <c r="N564" s="547"/>
      <c r="O564" s="547"/>
      <c r="P564" s="547"/>
      <c r="Q564" s="547"/>
      <c r="R564" s="547"/>
      <c r="S564" s="547"/>
      <c r="T564" s="547"/>
      <c r="U564" s="547"/>
      <c r="V564" s="547"/>
      <c r="W564" s="547"/>
      <c r="X564" s="547"/>
      <c r="Y564" s="547"/>
      <c r="Z564" s="547"/>
      <c r="AA564" s="547"/>
      <c r="AB564" s="547"/>
      <c r="AC564" s="547"/>
      <c r="AD564" s="547"/>
      <c r="AE564" s="547"/>
      <c r="AF564" s="547"/>
      <c r="AG564" s="547"/>
      <c r="AH564" s="547"/>
      <c r="AI564" s="547"/>
      <c r="AJ564" s="547"/>
      <c r="AK564" s="547"/>
      <c r="AL564" s="547"/>
      <c r="AM564" s="547"/>
      <c r="AN564" s="547"/>
      <c r="AO564" s="547"/>
      <c r="AP564" s="547"/>
      <c r="AQ564" s="547"/>
      <c r="AR564" s="547"/>
      <c r="AS564" s="547"/>
      <c r="AT564" s="547"/>
      <c r="AU564" s="547"/>
      <c r="AV564" s="547"/>
      <c r="AW564" s="547"/>
      <c r="AX564" s="547"/>
      <c r="AY564" s="547"/>
      <c r="AZ564" s="547"/>
      <c r="BA564" s="547"/>
      <c r="BB564" s="547"/>
      <c r="BC564" s="547"/>
      <c r="BD564" s="547"/>
      <c r="BE564" s="547"/>
      <c r="BF564" s="547"/>
      <c r="BG564" s="547"/>
      <c r="BH564" s="547"/>
      <c r="BI564" s="547"/>
      <c r="BJ564" s="547"/>
      <c r="BK564" s="547"/>
      <c r="BL564" s="547"/>
      <c r="BM564" s="547"/>
      <c r="BN564" s="547"/>
      <c r="BO564" s="547"/>
      <c r="BP564" s="547"/>
      <c r="BQ564" s="547"/>
      <c r="BR564" s="547"/>
      <c r="BS564" s="547"/>
      <c r="BT564" s="547"/>
      <c r="BU564" s="547"/>
      <c r="BV564" s="547"/>
      <c r="BW564" s="547"/>
      <c r="BX564" s="547"/>
      <c r="BY564" s="547"/>
      <c r="BZ564" s="547"/>
      <c r="CA564" s="547"/>
      <c r="CB564" s="547"/>
      <c r="CC564" s="547"/>
    </row>
    <row r="565" spans="1:81">
      <c r="A565" s="547"/>
      <c r="B565" s="547"/>
      <c r="C565" s="547"/>
      <c r="D565" s="547"/>
      <c r="E565" s="547"/>
      <c r="F565" s="547"/>
      <c r="G565" s="547"/>
      <c r="H565" s="547"/>
      <c r="I565" s="547"/>
      <c r="J565" s="547"/>
      <c r="K565" s="547"/>
      <c r="L565" s="547"/>
      <c r="M565" s="547"/>
      <c r="N565" s="547"/>
      <c r="O565" s="547"/>
      <c r="P565" s="547"/>
      <c r="Q565" s="547"/>
      <c r="R565" s="547"/>
      <c r="S565" s="547"/>
      <c r="T565" s="547"/>
      <c r="U565" s="547"/>
      <c r="V565" s="547"/>
      <c r="W565" s="547"/>
      <c r="X565" s="547"/>
      <c r="Y565" s="547"/>
      <c r="Z565" s="547"/>
      <c r="AA565" s="547"/>
      <c r="AB565" s="547"/>
      <c r="AC565" s="547"/>
      <c r="AD565" s="547"/>
      <c r="AE565" s="547"/>
      <c r="AF565" s="547"/>
      <c r="AG565" s="547"/>
      <c r="AH565" s="547"/>
      <c r="AI565" s="547"/>
      <c r="AJ565" s="547"/>
      <c r="AK565" s="547"/>
      <c r="AL565" s="547"/>
      <c r="AM565" s="547"/>
      <c r="AN565" s="547"/>
      <c r="AO565" s="547"/>
      <c r="AP565" s="547"/>
      <c r="AQ565" s="547"/>
      <c r="AR565" s="547"/>
      <c r="AS565" s="547"/>
      <c r="AT565" s="547"/>
      <c r="AU565" s="547"/>
      <c r="AV565" s="547"/>
      <c r="AW565" s="547"/>
      <c r="AX565" s="547"/>
      <c r="AY565" s="547"/>
      <c r="AZ565" s="547"/>
      <c r="BA565" s="547"/>
      <c r="BB565" s="547"/>
      <c r="BC565" s="547"/>
      <c r="BD565" s="547"/>
      <c r="BE565" s="547"/>
      <c r="BF565" s="547"/>
      <c r="BG565" s="547"/>
      <c r="BH565" s="547"/>
      <c r="BI565" s="547"/>
      <c r="BJ565" s="547"/>
      <c r="BK565" s="547"/>
      <c r="BL565" s="547"/>
      <c r="BM565" s="547"/>
      <c r="BN565" s="547"/>
      <c r="BO565" s="547"/>
      <c r="BP565" s="547"/>
      <c r="BQ565" s="547"/>
      <c r="BR565" s="547"/>
      <c r="BS565" s="547"/>
      <c r="BT565" s="547"/>
      <c r="BU565" s="547"/>
      <c r="BV565" s="547"/>
      <c r="BW565" s="547"/>
      <c r="BX565" s="547"/>
      <c r="BY565" s="547"/>
      <c r="BZ565" s="547"/>
      <c r="CA565" s="547"/>
      <c r="CB565" s="547"/>
      <c r="CC565" s="547"/>
    </row>
    <row r="566" spans="1:81">
      <c r="A566" s="547"/>
      <c r="B566" s="547"/>
      <c r="C566" s="547"/>
      <c r="D566" s="547"/>
      <c r="E566" s="547"/>
      <c r="F566" s="547"/>
      <c r="G566" s="547"/>
      <c r="H566" s="547"/>
      <c r="I566" s="547"/>
      <c r="J566" s="547"/>
      <c r="K566" s="547"/>
      <c r="L566" s="547"/>
      <c r="M566" s="547"/>
      <c r="N566" s="547"/>
      <c r="O566" s="547"/>
      <c r="P566" s="547"/>
      <c r="Q566" s="547"/>
      <c r="R566" s="547"/>
      <c r="S566" s="547"/>
      <c r="T566" s="547"/>
      <c r="U566" s="547"/>
      <c r="V566" s="547"/>
      <c r="W566" s="547"/>
      <c r="X566" s="547"/>
      <c r="Y566" s="547"/>
      <c r="Z566" s="547"/>
      <c r="AA566" s="547"/>
      <c r="AB566" s="547"/>
      <c r="AC566" s="547"/>
      <c r="AD566" s="547"/>
      <c r="AE566" s="547"/>
      <c r="AF566" s="547"/>
      <c r="AG566" s="547"/>
      <c r="AH566" s="547"/>
      <c r="AI566" s="547"/>
      <c r="AJ566" s="547"/>
      <c r="AK566" s="547"/>
      <c r="AL566" s="547"/>
      <c r="AM566" s="547"/>
      <c r="AN566" s="547"/>
      <c r="AO566" s="547"/>
      <c r="AP566" s="547"/>
      <c r="AQ566" s="547"/>
      <c r="AR566" s="547"/>
      <c r="AS566" s="547"/>
      <c r="AT566" s="547"/>
      <c r="AU566" s="547"/>
      <c r="AV566" s="547"/>
      <c r="AW566" s="547"/>
      <c r="AX566" s="547"/>
      <c r="AY566" s="547"/>
      <c r="AZ566" s="547"/>
      <c r="BA566" s="547"/>
      <c r="BB566" s="547"/>
      <c r="BC566" s="547"/>
      <c r="BD566" s="547"/>
      <c r="BE566" s="547"/>
      <c r="BF566" s="547"/>
      <c r="BG566" s="547"/>
      <c r="BH566" s="547"/>
      <c r="BI566" s="547"/>
      <c r="BJ566" s="547"/>
      <c r="BK566" s="547"/>
      <c r="BL566" s="547"/>
      <c r="BM566" s="547"/>
      <c r="BN566" s="547"/>
      <c r="BO566" s="547"/>
      <c r="BP566" s="547"/>
      <c r="BQ566" s="547"/>
      <c r="BR566" s="547"/>
      <c r="BS566" s="547"/>
      <c r="BT566" s="547"/>
      <c r="BU566" s="547"/>
      <c r="BV566" s="547"/>
      <c r="BW566" s="547"/>
      <c r="BX566" s="547"/>
      <c r="BY566" s="547"/>
      <c r="BZ566" s="547"/>
      <c r="CA566" s="547"/>
      <c r="CB566" s="547"/>
      <c r="CC566" s="547"/>
    </row>
    <row r="567" spans="1:81">
      <c r="A567" s="547"/>
      <c r="B567" s="547"/>
      <c r="C567" s="547"/>
      <c r="D567" s="547"/>
      <c r="E567" s="547"/>
      <c r="F567" s="547"/>
      <c r="G567" s="547"/>
      <c r="H567" s="547"/>
      <c r="I567" s="547"/>
      <c r="J567" s="547"/>
      <c r="K567" s="547"/>
      <c r="L567" s="547"/>
      <c r="M567" s="547"/>
      <c r="N567" s="547"/>
      <c r="O567" s="547"/>
      <c r="P567" s="547"/>
      <c r="Q567" s="547"/>
      <c r="R567" s="547"/>
      <c r="S567" s="547"/>
      <c r="T567" s="547"/>
      <c r="U567" s="547"/>
      <c r="V567" s="547"/>
      <c r="W567" s="547"/>
      <c r="X567" s="547"/>
      <c r="Y567" s="547"/>
      <c r="Z567" s="547"/>
      <c r="AA567" s="547"/>
      <c r="AB567" s="547"/>
      <c r="AC567" s="547"/>
      <c r="AD567" s="547"/>
      <c r="AE567" s="547"/>
      <c r="AF567" s="547"/>
      <c r="AG567" s="547"/>
      <c r="AH567" s="547"/>
      <c r="AI567" s="547"/>
      <c r="AJ567" s="547"/>
      <c r="AK567" s="547"/>
      <c r="AL567" s="547"/>
      <c r="AM567" s="547"/>
      <c r="AN567" s="547"/>
      <c r="AO567" s="547"/>
      <c r="AP567" s="547"/>
      <c r="AQ567" s="547"/>
      <c r="AR567" s="547"/>
      <c r="AS567" s="547"/>
      <c r="AT567" s="547"/>
      <c r="AU567" s="547"/>
      <c r="AV567" s="547"/>
      <c r="AW567" s="547"/>
      <c r="AX567" s="547"/>
      <c r="AY567" s="547"/>
      <c r="AZ567" s="547"/>
      <c r="BA567" s="547"/>
      <c r="BB567" s="547"/>
      <c r="BC567" s="547"/>
      <c r="BD567" s="547"/>
      <c r="BE567" s="547"/>
      <c r="BF567" s="547"/>
      <c r="BG567" s="547"/>
      <c r="BH567" s="547"/>
      <c r="BI567" s="547"/>
      <c r="BJ567" s="547"/>
      <c r="BK567" s="547"/>
      <c r="BL567" s="547"/>
      <c r="BM567" s="547"/>
      <c r="BN567" s="547"/>
      <c r="BO567" s="547"/>
      <c r="BP567" s="547"/>
      <c r="BQ567" s="547"/>
      <c r="BR567" s="547"/>
      <c r="BS567" s="547"/>
      <c r="BT567" s="547"/>
      <c r="BU567" s="547"/>
      <c r="BV567" s="547"/>
      <c r="BW567" s="547"/>
      <c r="BX567" s="547"/>
      <c r="BY567" s="547"/>
      <c r="BZ567" s="547"/>
      <c r="CA567" s="547"/>
      <c r="CB567" s="547"/>
      <c r="CC567" s="547"/>
    </row>
    <row r="568" spans="1:81">
      <c r="A568" s="547"/>
      <c r="B568" s="547"/>
      <c r="C568" s="547"/>
      <c r="D568" s="547"/>
      <c r="E568" s="547"/>
      <c r="F568" s="547"/>
      <c r="G568" s="547"/>
      <c r="H568" s="547"/>
      <c r="I568" s="547"/>
      <c r="J568" s="547"/>
      <c r="K568" s="547"/>
      <c r="L568" s="547"/>
      <c r="M568" s="547"/>
      <c r="N568" s="547"/>
      <c r="O568" s="547"/>
      <c r="P568" s="547"/>
      <c r="Q568" s="547"/>
      <c r="R568" s="547"/>
      <c r="S568" s="547"/>
      <c r="T568" s="547"/>
      <c r="U568" s="547"/>
      <c r="V568" s="547"/>
      <c r="W568" s="547"/>
      <c r="X568" s="547"/>
      <c r="Y568" s="547"/>
      <c r="Z568" s="547"/>
      <c r="AA568" s="547"/>
      <c r="AB568" s="547"/>
      <c r="AC568" s="547"/>
      <c r="AD568" s="547"/>
      <c r="AE568" s="547"/>
      <c r="AF568" s="547"/>
      <c r="AG568" s="547"/>
      <c r="AH568" s="547"/>
      <c r="AI568" s="547"/>
      <c r="AJ568" s="547"/>
      <c r="AK568" s="547"/>
      <c r="AL568" s="547"/>
      <c r="AM568" s="547"/>
      <c r="AN568" s="547"/>
      <c r="AO568" s="547"/>
      <c r="AP568" s="547"/>
      <c r="AQ568" s="547"/>
      <c r="AR568" s="547"/>
      <c r="AS568" s="547"/>
      <c r="AT568" s="547"/>
      <c r="AU568" s="547"/>
      <c r="AV568" s="547"/>
      <c r="AW568" s="547"/>
      <c r="AX568" s="547"/>
      <c r="AY568" s="547"/>
      <c r="AZ568" s="547"/>
      <c r="BA568" s="547"/>
      <c r="BB568" s="547"/>
      <c r="BC568" s="547"/>
      <c r="BD568" s="547"/>
      <c r="BE568" s="547"/>
      <c r="BF568" s="547"/>
      <c r="BG568" s="547"/>
      <c r="BH568" s="547"/>
      <c r="BI568" s="547"/>
      <c r="BJ568" s="547"/>
      <c r="BK568" s="547"/>
      <c r="BL568" s="547"/>
      <c r="BM568" s="547"/>
      <c r="BN568" s="547"/>
      <c r="BO568" s="547"/>
      <c r="BP568" s="547"/>
      <c r="BQ568" s="547"/>
      <c r="BR568" s="547"/>
      <c r="BS568" s="547"/>
      <c r="BT568" s="547"/>
      <c r="BU568" s="547"/>
      <c r="BV568" s="547"/>
      <c r="BW568" s="547"/>
      <c r="BX568" s="547"/>
      <c r="BY568" s="547"/>
      <c r="BZ568" s="547"/>
      <c r="CA568" s="547"/>
      <c r="CB568" s="547"/>
      <c r="CC568" s="547"/>
    </row>
    <row r="569" spans="1:81">
      <c r="A569" s="547"/>
      <c r="B569" s="547"/>
      <c r="C569" s="547"/>
      <c r="D569" s="547"/>
      <c r="E569" s="547"/>
      <c r="F569" s="547"/>
      <c r="G569" s="547"/>
      <c r="H569" s="547"/>
      <c r="I569" s="547"/>
      <c r="J569" s="547"/>
      <c r="K569" s="547"/>
      <c r="L569" s="547"/>
      <c r="M569" s="547"/>
      <c r="N569" s="547"/>
      <c r="O569" s="547"/>
      <c r="P569" s="547"/>
      <c r="Q569" s="547"/>
      <c r="R569" s="547"/>
      <c r="S569" s="547"/>
      <c r="T569" s="547"/>
      <c r="U569" s="547"/>
      <c r="V569" s="547"/>
      <c r="W569" s="547"/>
      <c r="X569" s="547"/>
      <c r="Y569" s="547"/>
      <c r="Z569" s="547"/>
      <c r="AA569" s="547"/>
      <c r="AB569" s="547"/>
      <c r="AC569" s="547"/>
      <c r="AD569" s="547"/>
      <c r="AE569" s="547"/>
      <c r="AF569" s="547"/>
      <c r="AG569" s="547"/>
      <c r="AH569" s="547"/>
      <c r="AI569" s="547"/>
      <c r="AJ569" s="547"/>
      <c r="AK569" s="547"/>
      <c r="AL569" s="547"/>
      <c r="AM569" s="547"/>
      <c r="AN569" s="547"/>
      <c r="AO569" s="547"/>
      <c r="AP569" s="547"/>
      <c r="AQ569" s="547"/>
      <c r="AR569" s="547"/>
      <c r="AS569" s="547"/>
      <c r="AT569" s="547"/>
      <c r="AU569" s="547"/>
      <c r="AV569" s="547"/>
      <c r="AW569" s="547"/>
      <c r="AX569" s="547"/>
      <c r="AY569" s="547"/>
      <c r="AZ569" s="547"/>
      <c r="BA569" s="547"/>
      <c r="BB569" s="547"/>
      <c r="BC569" s="547"/>
      <c r="BD569" s="547"/>
      <c r="BE569" s="547"/>
      <c r="BF569" s="547"/>
      <c r="BG569" s="547"/>
      <c r="BH569" s="547"/>
      <c r="BI569" s="547"/>
      <c r="BJ569" s="547"/>
      <c r="BK569" s="547"/>
      <c r="BL569" s="547"/>
      <c r="BM569" s="547"/>
      <c r="BN569" s="547"/>
      <c r="BO569" s="547"/>
      <c r="BP569" s="547"/>
      <c r="BQ569" s="547"/>
      <c r="BR569" s="547"/>
      <c r="BS569" s="547"/>
      <c r="BT569" s="547"/>
      <c r="BU569" s="547"/>
      <c r="BV569" s="547"/>
      <c r="BW569" s="547"/>
      <c r="BX569" s="547"/>
      <c r="BY569" s="547"/>
      <c r="BZ569" s="547"/>
      <c r="CA569" s="547"/>
      <c r="CB569" s="547"/>
      <c r="CC569" s="547"/>
    </row>
    <row r="570" spans="1:81">
      <c r="A570" s="547"/>
      <c r="B570" s="547"/>
      <c r="C570" s="547"/>
      <c r="D570" s="547"/>
      <c r="E570" s="547"/>
      <c r="F570" s="547"/>
      <c r="G570" s="547"/>
      <c r="H570" s="547"/>
      <c r="I570" s="547"/>
      <c r="J570" s="547"/>
      <c r="K570" s="547"/>
      <c r="L570" s="547"/>
      <c r="M570" s="547"/>
      <c r="N570" s="547"/>
      <c r="O570" s="547"/>
      <c r="P570" s="547"/>
      <c r="Q570" s="547"/>
      <c r="R570" s="547"/>
      <c r="S570" s="547"/>
      <c r="T570" s="547"/>
      <c r="U570" s="547"/>
      <c r="V570" s="547"/>
      <c r="W570" s="547"/>
      <c r="X570" s="547"/>
      <c r="Y570" s="547"/>
      <c r="Z570" s="547"/>
      <c r="AA570" s="547"/>
      <c r="AB570" s="547"/>
      <c r="AC570" s="547"/>
      <c r="AD570" s="547"/>
      <c r="AE570" s="547"/>
      <c r="AF570" s="547"/>
      <c r="AG570" s="547"/>
      <c r="AH570" s="547"/>
      <c r="AI570" s="547"/>
      <c r="AJ570" s="547"/>
      <c r="AK570" s="547"/>
      <c r="AL570" s="547"/>
      <c r="AM570" s="547"/>
      <c r="AN570" s="547"/>
      <c r="AO570" s="547"/>
      <c r="AP570" s="547"/>
      <c r="AQ570" s="547"/>
      <c r="AR570" s="547"/>
      <c r="AS570" s="547"/>
      <c r="AT570" s="547"/>
      <c r="AU570" s="547"/>
      <c r="AV570" s="547"/>
      <c r="AW570" s="547"/>
      <c r="AX570" s="547"/>
      <c r="AY570" s="547"/>
      <c r="AZ570" s="547"/>
      <c r="BA570" s="547"/>
      <c r="BB570" s="547"/>
      <c r="BC570" s="547"/>
      <c r="BD570" s="547"/>
      <c r="BE570" s="547"/>
      <c r="BF570" s="547"/>
      <c r="BG570" s="547"/>
      <c r="BH570" s="547"/>
      <c r="BI570" s="547"/>
      <c r="BJ570" s="547"/>
      <c r="BK570" s="547"/>
      <c r="BL570" s="547"/>
      <c r="BM570" s="547"/>
      <c r="BN570" s="547"/>
      <c r="BO570" s="547"/>
      <c r="BP570" s="547"/>
      <c r="BQ570" s="547"/>
      <c r="BR570" s="547"/>
      <c r="BS570" s="547"/>
      <c r="BT570" s="547"/>
      <c r="BU570" s="547"/>
      <c r="BV570" s="547"/>
      <c r="BW570" s="547"/>
      <c r="BX570" s="547"/>
      <c r="BY570" s="547"/>
      <c r="BZ570" s="547"/>
      <c r="CA570" s="547"/>
      <c r="CB570" s="547"/>
      <c r="CC570" s="547"/>
    </row>
    <row r="571" spans="1:81">
      <c r="A571" s="547"/>
      <c r="B571" s="547"/>
      <c r="C571" s="547"/>
      <c r="D571" s="547"/>
      <c r="E571" s="547"/>
      <c r="F571" s="547"/>
      <c r="G571" s="547"/>
      <c r="H571" s="547"/>
      <c r="I571" s="547"/>
      <c r="J571" s="547"/>
      <c r="K571" s="547"/>
      <c r="L571" s="547"/>
      <c r="M571" s="547"/>
      <c r="N571" s="547"/>
      <c r="O571" s="547"/>
      <c r="P571" s="547"/>
      <c r="Q571" s="547"/>
      <c r="R571" s="547"/>
      <c r="S571" s="547"/>
      <c r="T571" s="547"/>
      <c r="U571" s="547"/>
      <c r="V571" s="547"/>
      <c r="W571" s="547"/>
      <c r="X571" s="547"/>
      <c r="Y571" s="547"/>
      <c r="Z571" s="547"/>
      <c r="AA571" s="547"/>
      <c r="AB571" s="547"/>
      <c r="AC571" s="547"/>
      <c r="AD571" s="547"/>
      <c r="AE571" s="547"/>
      <c r="AF571" s="547"/>
      <c r="AG571" s="547"/>
      <c r="AH571" s="547"/>
      <c r="AI571" s="547"/>
      <c r="AJ571" s="547"/>
      <c r="AK571" s="547"/>
      <c r="AL571" s="547"/>
      <c r="AM571" s="547"/>
      <c r="AN571" s="547"/>
      <c r="AO571" s="547"/>
      <c r="AP571" s="547"/>
      <c r="AQ571" s="547"/>
      <c r="AR571" s="547"/>
      <c r="AS571" s="547"/>
      <c r="AT571" s="547"/>
      <c r="AU571" s="547"/>
      <c r="AV571" s="547"/>
      <c r="AW571" s="547"/>
      <c r="AX571" s="547"/>
      <c r="AY571" s="547"/>
      <c r="AZ571" s="547"/>
      <c r="BA571" s="547"/>
      <c r="BB571" s="547"/>
      <c r="BC571" s="547"/>
      <c r="BD571" s="547"/>
      <c r="BE571" s="547"/>
      <c r="BF571" s="547"/>
      <c r="BG571" s="547"/>
      <c r="BH571" s="547"/>
      <c r="BI571" s="547"/>
      <c r="BJ571" s="547"/>
      <c r="BK571" s="547"/>
      <c r="BL571" s="547"/>
      <c r="BM571" s="547"/>
      <c r="BN571" s="547"/>
      <c r="BO571" s="547"/>
      <c r="BP571" s="547"/>
      <c r="BQ571" s="547"/>
      <c r="BR571" s="547"/>
      <c r="BS571" s="547"/>
      <c r="BT571" s="547"/>
      <c r="BU571" s="547"/>
      <c r="BV571" s="547"/>
      <c r="BW571" s="547"/>
      <c r="BX571" s="547"/>
      <c r="BY571" s="547"/>
      <c r="BZ571" s="547"/>
      <c r="CA571" s="547"/>
      <c r="CB571" s="547"/>
      <c r="CC571" s="547"/>
    </row>
    <row r="572" spans="1:81">
      <c r="A572" s="547"/>
      <c r="B572" s="547"/>
      <c r="C572" s="547"/>
      <c r="D572" s="547"/>
      <c r="E572" s="547"/>
      <c r="F572" s="547"/>
      <c r="G572" s="547"/>
      <c r="H572" s="547"/>
      <c r="I572" s="547"/>
      <c r="J572" s="547"/>
      <c r="K572" s="547"/>
      <c r="L572" s="547"/>
      <c r="M572" s="547"/>
      <c r="N572" s="547"/>
      <c r="O572" s="547"/>
      <c r="P572" s="547"/>
      <c r="Q572" s="547"/>
      <c r="R572" s="547"/>
      <c r="S572" s="547"/>
      <c r="T572" s="547"/>
      <c r="U572" s="547"/>
      <c r="V572" s="547"/>
      <c r="W572" s="547"/>
      <c r="X572" s="547"/>
      <c r="Y572" s="547"/>
      <c r="Z572" s="547"/>
      <c r="AA572" s="547"/>
      <c r="AB572" s="547"/>
      <c r="AC572" s="547"/>
      <c r="AD572" s="547"/>
      <c r="AE572" s="547"/>
      <c r="AF572" s="547"/>
      <c r="AG572" s="547"/>
      <c r="AH572" s="547"/>
      <c r="AI572" s="547"/>
      <c r="AJ572" s="547"/>
      <c r="AK572" s="547"/>
      <c r="AL572" s="547"/>
      <c r="AM572" s="547"/>
      <c r="AN572" s="547"/>
      <c r="AO572" s="547"/>
      <c r="AP572" s="547"/>
      <c r="AQ572" s="547"/>
      <c r="AR572" s="547"/>
      <c r="AS572" s="547"/>
      <c r="AT572" s="547"/>
      <c r="AU572" s="547"/>
      <c r="AV572" s="547"/>
      <c r="AW572" s="547"/>
      <c r="AX572" s="547"/>
      <c r="AY572" s="547"/>
      <c r="AZ572" s="547"/>
      <c r="BA572" s="547"/>
      <c r="BB572" s="547"/>
      <c r="BC572" s="547"/>
      <c r="BD572" s="547"/>
      <c r="BE572" s="547"/>
      <c r="BF572" s="547"/>
      <c r="BG572" s="547"/>
      <c r="BH572" s="547"/>
      <c r="BI572" s="547"/>
      <c r="BJ572" s="547"/>
      <c r="BK572" s="547"/>
      <c r="BL572" s="547"/>
      <c r="BM572" s="547"/>
      <c r="BN572" s="547"/>
      <c r="BO572" s="547"/>
      <c r="BP572" s="547"/>
      <c r="BQ572" s="547"/>
      <c r="BR572" s="547"/>
      <c r="BS572" s="547"/>
      <c r="BT572" s="547"/>
      <c r="BU572" s="547"/>
      <c r="BV572" s="547"/>
      <c r="BW572" s="547"/>
      <c r="BX572" s="547"/>
      <c r="BY572" s="547"/>
      <c r="BZ572" s="547"/>
      <c r="CA572" s="547"/>
      <c r="CB572" s="547"/>
      <c r="CC572" s="547"/>
    </row>
    <row r="573" spans="1:81">
      <c r="A573" s="547"/>
      <c r="B573" s="547"/>
      <c r="C573" s="547"/>
      <c r="D573" s="547"/>
      <c r="E573" s="547"/>
      <c r="F573" s="547"/>
      <c r="G573" s="547"/>
      <c r="H573" s="547"/>
      <c r="I573" s="547"/>
      <c r="J573" s="547"/>
      <c r="K573" s="547"/>
      <c r="L573" s="547"/>
      <c r="M573" s="547"/>
      <c r="N573" s="547"/>
      <c r="O573" s="547"/>
      <c r="P573" s="547"/>
      <c r="Q573" s="547"/>
      <c r="R573" s="547"/>
      <c r="S573" s="547"/>
      <c r="T573" s="547"/>
      <c r="U573" s="547"/>
      <c r="V573" s="547"/>
      <c r="W573" s="547"/>
      <c r="X573" s="547"/>
      <c r="Y573" s="547"/>
      <c r="Z573" s="547"/>
      <c r="AA573" s="547"/>
      <c r="AB573" s="547"/>
      <c r="AC573" s="547"/>
      <c r="AD573" s="547"/>
      <c r="AE573" s="547"/>
      <c r="AF573" s="547"/>
      <c r="AG573" s="547"/>
      <c r="AH573" s="547"/>
      <c r="AI573" s="547"/>
      <c r="AJ573" s="547"/>
      <c r="AK573" s="547"/>
      <c r="AL573" s="547"/>
      <c r="AM573" s="547"/>
      <c r="AN573" s="547"/>
      <c r="AO573" s="547"/>
      <c r="AP573" s="547"/>
      <c r="AQ573" s="547"/>
      <c r="AR573" s="547"/>
      <c r="AS573" s="547"/>
      <c r="AT573" s="547"/>
      <c r="AU573" s="547"/>
      <c r="AV573" s="547"/>
      <c r="AW573" s="547"/>
      <c r="AX573" s="547"/>
      <c r="AY573" s="547"/>
      <c r="AZ573" s="547"/>
      <c r="BA573" s="547"/>
      <c r="BB573" s="547"/>
      <c r="BC573" s="547"/>
      <c r="BD573" s="547"/>
      <c r="BE573" s="547"/>
      <c r="BF573" s="547"/>
      <c r="BG573" s="547"/>
      <c r="BH573" s="547"/>
      <c r="BI573" s="547"/>
      <c r="BJ573" s="547"/>
      <c r="BK573" s="547"/>
      <c r="BL573" s="547"/>
      <c r="BM573" s="547"/>
      <c r="BN573" s="547"/>
      <c r="BO573" s="547"/>
      <c r="BP573" s="547"/>
      <c r="BQ573" s="547"/>
      <c r="BR573" s="547"/>
      <c r="BS573" s="547"/>
      <c r="BT573" s="547"/>
      <c r="BU573" s="547"/>
      <c r="BV573" s="547"/>
      <c r="BW573" s="547"/>
      <c r="BX573" s="547"/>
      <c r="BY573" s="547"/>
      <c r="BZ573" s="547"/>
      <c r="CA573" s="547"/>
      <c r="CB573" s="547"/>
      <c r="CC573" s="547"/>
    </row>
    <row r="574" spans="1:81">
      <c r="A574" s="547"/>
      <c r="B574" s="547"/>
      <c r="C574" s="547"/>
      <c r="D574" s="547"/>
      <c r="E574" s="547"/>
      <c r="F574" s="547"/>
      <c r="G574" s="547"/>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7"/>
      <c r="AH574" s="547"/>
      <c r="AI574" s="547"/>
      <c r="AJ574" s="547"/>
      <c r="AK574" s="547"/>
      <c r="AL574" s="547"/>
      <c r="AM574" s="547"/>
      <c r="AN574" s="547"/>
      <c r="AO574" s="547"/>
      <c r="AP574" s="547"/>
      <c r="AQ574" s="547"/>
      <c r="AR574" s="547"/>
      <c r="AS574" s="547"/>
      <c r="AT574" s="547"/>
      <c r="AU574" s="547"/>
      <c r="AV574" s="547"/>
      <c r="AW574" s="547"/>
      <c r="AX574" s="547"/>
      <c r="AY574" s="547"/>
      <c r="AZ574" s="547"/>
      <c r="BA574" s="547"/>
      <c r="BB574" s="547"/>
      <c r="BC574" s="547"/>
      <c r="BD574" s="547"/>
      <c r="BE574" s="547"/>
      <c r="BF574" s="547"/>
      <c r="BG574" s="547"/>
      <c r="BH574" s="547"/>
      <c r="BI574" s="547"/>
      <c r="BJ574" s="547"/>
      <c r="BK574" s="547"/>
      <c r="BL574" s="547"/>
      <c r="BM574" s="547"/>
      <c r="BN574" s="547"/>
      <c r="BO574" s="547"/>
      <c r="BP574" s="547"/>
      <c r="BQ574" s="547"/>
      <c r="BR574" s="547"/>
      <c r="BS574" s="547"/>
      <c r="BT574" s="547"/>
      <c r="BU574" s="547"/>
      <c r="BV574" s="547"/>
      <c r="BW574" s="547"/>
      <c r="BX574" s="547"/>
      <c r="BY574" s="547"/>
      <c r="BZ574" s="547"/>
      <c r="CA574" s="547"/>
      <c r="CB574" s="547"/>
      <c r="CC574" s="547"/>
    </row>
    <row r="575" spans="1:81">
      <c r="A575" s="547"/>
      <c r="B575" s="547"/>
      <c r="C575" s="547"/>
      <c r="D575" s="547"/>
      <c r="E575" s="547"/>
      <c r="F575" s="547"/>
      <c r="G575" s="547"/>
      <c r="H575" s="547"/>
      <c r="I575" s="547"/>
      <c r="J575" s="547"/>
      <c r="K575" s="547"/>
      <c r="L575" s="547"/>
      <c r="M575" s="547"/>
      <c r="N575" s="547"/>
      <c r="O575" s="547"/>
      <c r="P575" s="547"/>
      <c r="Q575" s="547"/>
      <c r="R575" s="547"/>
      <c r="S575" s="547"/>
      <c r="T575" s="547"/>
      <c r="U575" s="547"/>
      <c r="V575" s="547"/>
      <c r="W575" s="547"/>
      <c r="X575" s="547"/>
      <c r="Y575" s="547"/>
      <c r="Z575" s="547"/>
      <c r="AA575" s="547"/>
      <c r="AB575" s="547"/>
      <c r="AC575" s="547"/>
      <c r="AD575" s="547"/>
      <c r="AE575" s="547"/>
      <c r="AF575" s="547"/>
      <c r="AG575" s="547"/>
      <c r="AH575" s="547"/>
      <c r="AI575" s="547"/>
      <c r="AJ575" s="547"/>
      <c r="AK575" s="547"/>
      <c r="AL575" s="547"/>
      <c r="AM575" s="547"/>
      <c r="AN575" s="547"/>
      <c r="AO575" s="547"/>
      <c r="AP575" s="547"/>
      <c r="AQ575" s="547"/>
      <c r="AR575" s="547"/>
      <c r="AS575" s="547"/>
      <c r="AT575" s="547"/>
      <c r="AU575" s="547"/>
      <c r="AV575" s="547"/>
      <c r="AW575" s="547"/>
      <c r="AX575" s="547"/>
      <c r="AY575" s="547"/>
      <c r="AZ575" s="547"/>
      <c r="BA575" s="547"/>
      <c r="BB575" s="547"/>
      <c r="BC575" s="547"/>
      <c r="BD575" s="547"/>
      <c r="BE575" s="547"/>
      <c r="BF575" s="547"/>
      <c r="BG575" s="547"/>
      <c r="BH575" s="547"/>
      <c r="BI575" s="547"/>
      <c r="BJ575" s="547"/>
      <c r="BK575" s="547"/>
      <c r="BL575" s="547"/>
      <c r="BM575" s="547"/>
      <c r="BN575" s="547"/>
      <c r="BO575" s="547"/>
      <c r="BP575" s="547"/>
      <c r="BQ575" s="547"/>
      <c r="BR575" s="547"/>
      <c r="BS575" s="547"/>
      <c r="BT575" s="547"/>
      <c r="BU575" s="547"/>
      <c r="BV575" s="547"/>
      <c r="BW575" s="547"/>
      <c r="BX575" s="547"/>
      <c r="BY575" s="547"/>
      <c r="BZ575" s="547"/>
      <c r="CA575" s="547"/>
      <c r="CB575" s="547"/>
      <c r="CC575" s="547"/>
    </row>
    <row r="576" spans="1:81">
      <c r="A576" s="547"/>
      <c r="B576" s="547"/>
      <c r="C576" s="547"/>
      <c r="D576" s="547"/>
      <c r="E576" s="547"/>
      <c r="F576" s="547"/>
      <c r="G576" s="547"/>
      <c r="H576" s="547"/>
      <c r="I576" s="547"/>
      <c r="J576" s="547"/>
      <c r="K576" s="547"/>
      <c r="L576" s="547"/>
      <c r="M576" s="547"/>
      <c r="N576" s="547"/>
      <c r="O576" s="547"/>
      <c r="P576" s="547"/>
      <c r="Q576" s="547"/>
      <c r="R576" s="547"/>
      <c r="S576" s="547"/>
      <c r="T576" s="547"/>
      <c r="U576" s="547"/>
      <c r="V576" s="547"/>
      <c r="W576" s="547"/>
      <c r="X576" s="547"/>
      <c r="Y576" s="547"/>
      <c r="Z576" s="547"/>
      <c r="AA576" s="547"/>
      <c r="AB576" s="547"/>
      <c r="AC576" s="547"/>
      <c r="AD576" s="547"/>
      <c r="AE576" s="547"/>
      <c r="AF576" s="547"/>
      <c r="AG576" s="547"/>
      <c r="AH576" s="547"/>
      <c r="AI576" s="547"/>
      <c r="AJ576" s="547"/>
      <c r="AK576" s="547"/>
      <c r="AL576" s="547"/>
      <c r="AM576" s="547"/>
      <c r="AN576" s="547"/>
      <c r="AO576" s="547"/>
      <c r="AP576" s="547"/>
      <c r="AQ576" s="547"/>
      <c r="AR576" s="547"/>
      <c r="AS576" s="547"/>
      <c r="AT576" s="547"/>
      <c r="AU576" s="547"/>
      <c r="AV576" s="547"/>
      <c r="AW576" s="547"/>
      <c r="AX576" s="547"/>
      <c r="AY576" s="547"/>
      <c r="AZ576" s="547"/>
      <c r="BA576" s="547"/>
      <c r="BB576" s="547"/>
      <c r="BC576" s="547"/>
      <c r="BD576" s="547"/>
      <c r="BE576" s="547"/>
      <c r="BF576" s="547"/>
      <c r="BG576" s="547"/>
      <c r="BH576" s="547"/>
      <c r="BI576" s="547"/>
      <c r="BJ576" s="547"/>
      <c r="BK576" s="547"/>
      <c r="BL576" s="547"/>
      <c r="BM576" s="547"/>
      <c r="BN576" s="547"/>
      <c r="BO576" s="547"/>
      <c r="BP576" s="547"/>
      <c r="BQ576" s="547"/>
      <c r="BR576" s="547"/>
      <c r="BS576" s="547"/>
      <c r="BT576" s="547"/>
      <c r="BU576" s="547"/>
      <c r="BV576" s="547"/>
      <c r="BW576" s="547"/>
      <c r="BX576" s="547"/>
      <c r="BY576" s="547"/>
      <c r="BZ576" s="547"/>
      <c r="CA576" s="547"/>
      <c r="CB576" s="547"/>
      <c r="CC576" s="547"/>
    </row>
    <row r="577" spans="1:81">
      <c r="A577" s="547"/>
      <c r="B577" s="547"/>
      <c r="C577" s="547"/>
      <c r="D577" s="547"/>
      <c r="E577" s="547"/>
      <c r="F577" s="547"/>
      <c r="G577" s="547"/>
      <c r="H577" s="547"/>
      <c r="I577" s="547"/>
      <c r="J577" s="547"/>
      <c r="K577" s="547"/>
      <c r="L577" s="547"/>
      <c r="M577" s="547"/>
      <c r="N577" s="547"/>
      <c r="O577" s="547"/>
      <c r="P577" s="547"/>
      <c r="Q577" s="547"/>
      <c r="R577" s="547"/>
      <c r="S577" s="547"/>
      <c r="T577" s="547"/>
      <c r="U577" s="547"/>
      <c r="V577" s="547"/>
      <c r="W577" s="547"/>
      <c r="X577" s="547"/>
      <c r="Y577" s="547"/>
      <c r="Z577" s="547"/>
      <c r="AA577" s="547"/>
      <c r="AB577" s="547"/>
      <c r="AC577" s="547"/>
      <c r="AD577" s="547"/>
      <c r="AE577" s="547"/>
      <c r="AF577" s="547"/>
      <c r="AG577" s="547"/>
      <c r="AH577" s="547"/>
      <c r="AI577" s="547"/>
      <c r="AJ577" s="547"/>
      <c r="AK577" s="547"/>
      <c r="AL577" s="547"/>
      <c r="AM577" s="547"/>
      <c r="AN577" s="547"/>
      <c r="AO577" s="547"/>
      <c r="AP577" s="547"/>
      <c r="AQ577" s="547"/>
      <c r="AR577" s="547"/>
      <c r="AS577" s="547"/>
      <c r="AT577" s="547"/>
      <c r="AU577" s="547"/>
      <c r="AV577" s="547"/>
      <c r="AW577" s="547"/>
      <c r="AX577" s="547"/>
      <c r="AY577" s="547"/>
      <c r="AZ577" s="547"/>
      <c r="BA577" s="547"/>
      <c r="BB577" s="547"/>
      <c r="BC577" s="547"/>
      <c r="BD577" s="547"/>
      <c r="BE577" s="547"/>
      <c r="BF577" s="547"/>
      <c r="BG577" s="547"/>
      <c r="BH577" s="547"/>
      <c r="BI577" s="547"/>
      <c r="BJ577" s="547"/>
      <c r="BK577" s="547"/>
      <c r="BL577" s="547"/>
      <c r="BM577" s="547"/>
      <c r="BN577" s="547"/>
      <c r="BO577" s="547"/>
      <c r="BP577" s="547"/>
      <c r="BQ577" s="547"/>
      <c r="BR577" s="547"/>
      <c r="BS577" s="547"/>
      <c r="BT577" s="547"/>
      <c r="BU577" s="547"/>
      <c r="BV577" s="547"/>
      <c r="BW577" s="547"/>
      <c r="BX577" s="547"/>
      <c r="BY577" s="547"/>
      <c r="BZ577" s="547"/>
      <c r="CA577" s="547"/>
      <c r="CB577" s="547"/>
      <c r="CC577" s="547"/>
    </row>
    <row r="578" spans="1:81">
      <c r="A578" s="547"/>
      <c r="B578" s="547"/>
      <c r="C578" s="547"/>
      <c r="D578" s="547"/>
      <c r="E578" s="547"/>
      <c r="F578" s="547"/>
      <c r="G578" s="547"/>
      <c r="H578" s="547"/>
      <c r="I578" s="547"/>
      <c r="J578" s="547"/>
      <c r="K578" s="547"/>
      <c r="L578" s="547"/>
      <c r="M578" s="547"/>
      <c r="N578" s="547"/>
      <c r="O578" s="547"/>
      <c r="P578" s="547"/>
      <c r="Q578" s="547"/>
      <c r="R578" s="547"/>
      <c r="S578" s="547"/>
      <c r="T578" s="547"/>
      <c r="U578" s="547"/>
      <c r="V578" s="547"/>
      <c r="W578" s="547"/>
      <c r="X578" s="547"/>
      <c r="Y578" s="547"/>
      <c r="Z578" s="547"/>
      <c r="AA578" s="547"/>
      <c r="AB578" s="547"/>
      <c r="AC578" s="547"/>
      <c r="AD578" s="547"/>
      <c r="AE578" s="547"/>
      <c r="AF578" s="547"/>
      <c r="AG578" s="547"/>
      <c r="AH578" s="547"/>
      <c r="AI578" s="547"/>
      <c r="AJ578" s="547"/>
      <c r="AK578" s="547"/>
      <c r="AL578" s="547"/>
      <c r="AM578" s="547"/>
      <c r="AN578" s="547"/>
      <c r="AO578" s="547"/>
      <c r="AP578" s="547"/>
      <c r="AQ578" s="547"/>
      <c r="AR578" s="547"/>
      <c r="AS578" s="547"/>
      <c r="AT578" s="547"/>
      <c r="AU578" s="547"/>
      <c r="AV578" s="547"/>
      <c r="AW578" s="547"/>
      <c r="AX578" s="547"/>
      <c r="AY578" s="547"/>
      <c r="AZ578" s="547"/>
      <c r="BA578" s="547"/>
      <c r="BB578" s="547"/>
      <c r="BC578" s="547"/>
      <c r="BD578" s="547"/>
      <c r="BE578" s="547"/>
      <c r="BF578" s="547"/>
      <c r="BG578" s="547"/>
      <c r="BH578" s="547"/>
      <c r="BI578" s="547"/>
      <c r="BJ578" s="547"/>
      <c r="BK578" s="547"/>
      <c r="BL578" s="547"/>
      <c r="BM578" s="547"/>
      <c r="BN578" s="547"/>
      <c r="BO578" s="547"/>
      <c r="BP578" s="547"/>
      <c r="BQ578" s="547"/>
      <c r="BR578" s="547"/>
      <c r="BS578" s="547"/>
      <c r="BT578" s="547"/>
      <c r="BU578" s="547"/>
      <c r="BV578" s="547"/>
      <c r="BW578" s="547"/>
      <c r="BX578" s="547"/>
      <c r="BY578" s="547"/>
      <c r="BZ578" s="547"/>
      <c r="CA578" s="547"/>
      <c r="CB578" s="547"/>
      <c r="CC578" s="547"/>
    </row>
    <row r="579" spans="1:81">
      <c r="A579" s="547"/>
      <c r="B579" s="547"/>
      <c r="C579" s="547"/>
      <c r="D579" s="547"/>
      <c r="E579" s="547"/>
      <c r="F579" s="547"/>
      <c r="G579" s="547"/>
      <c r="H579" s="547"/>
      <c r="I579" s="547"/>
      <c r="J579" s="547"/>
      <c r="K579" s="547"/>
      <c r="L579" s="547"/>
      <c r="M579" s="547"/>
      <c r="N579" s="547"/>
      <c r="O579" s="547"/>
      <c r="P579" s="547"/>
      <c r="Q579" s="547"/>
      <c r="R579" s="547"/>
      <c r="S579" s="547"/>
      <c r="T579" s="547"/>
      <c r="U579" s="547"/>
      <c r="V579" s="547"/>
      <c r="W579" s="547"/>
      <c r="X579" s="547"/>
      <c r="Y579" s="547"/>
      <c r="Z579" s="547"/>
      <c r="AA579" s="547"/>
      <c r="AB579" s="547"/>
      <c r="AC579" s="547"/>
      <c r="AD579" s="547"/>
      <c r="AE579" s="547"/>
      <c r="AF579" s="547"/>
      <c r="AG579" s="547"/>
      <c r="AH579" s="547"/>
      <c r="AI579" s="547"/>
      <c r="AJ579" s="547"/>
      <c r="AK579" s="547"/>
      <c r="AL579" s="547"/>
      <c r="AM579" s="547"/>
      <c r="AN579" s="547"/>
      <c r="AO579" s="547"/>
      <c r="AP579" s="547"/>
      <c r="AQ579" s="547"/>
      <c r="AR579" s="547"/>
      <c r="AS579" s="547"/>
      <c r="AT579" s="547"/>
      <c r="AU579" s="547"/>
      <c r="AV579" s="547"/>
      <c r="AW579" s="547"/>
      <c r="AX579" s="547"/>
      <c r="AY579" s="547"/>
      <c r="AZ579" s="547"/>
      <c r="BA579" s="547"/>
      <c r="BB579" s="547"/>
      <c r="BC579" s="547"/>
      <c r="BD579" s="547"/>
      <c r="BE579" s="547"/>
      <c r="BF579" s="547"/>
      <c r="BG579" s="547"/>
      <c r="BH579" s="547"/>
      <c r="BI579" s="547"/>
      <c r="BJ579" s="547"/>
      <c r="BK579" s="547"/>
      <c r="BL579" s="547"/>
      <c r="BM579" s="547"/>
      <c r="BN579" s="547"/>
      <c r="BO579" s="547"/>
      <c r="BP579" s="547"/>
      <c r="BQ579" s="547"/>
      <c r="BR579" s="547"/>
      <c r="BS579" s="547"/>
      <c r="BT579" s="547"/>
      <c r="BU579" s="547"/>
      <c r="BV579" s="547"/>
      <c r="BW579" s="547"/>
      <c r="BX579" s="547"/>
      <c r="BY579" s="547"/>
      <c r="BZ579" s="547"/>
      <c r="CA579" s="547"/>
      <c r="CB579" s="547"/>
      <c r="CC579" s="547"/>
    </row>
    <row r="580" spans="1:81">
      <c r="A580" s="547"/>
      <c r="B580" s="547"/>
      <c r="C580" s="547"/>
      <c r="D580" s="547"/>
      <c r="E580" s="547"/>
      <c r="F580" s="547"/>
      <c r="G580" s="547"/>
      <c r="H580" s="547"/>
      <c r="I580" s="547"/>
      <c r="J580" s="547"/>
      <c r="K580" s="547"/>
      <c r="L580" s="547"/>
      <c r="M580" s="547"/>
      <c r="N580" s="547"/>
      <c r="O580" s="547"/>
      <c r="P580" s="547"/>
      <c r="Q580" s="547"/>
      <c r="R580" s="547"/>
      <c r="S580" s="547"/>
      <c r="T580" s="547"/>
      <c r="U580" s="547"/>
      <c r="V580" s="547"/>
      <c r="W580" s="547"/>
      <c r="X580" s="547"/>
      <c r="Y580" s="547"/>
      <c r="Z580" s="547"/>
      <c r="AA580" s="547"/>
      <c r="AB580" s="547"/>
      <c r="AC580" s="547"/>
      <c r="AD580" s="547"/>
      <c r="AE580" s="547"/>
      <c r="AF580" s="547"/>
      <c r="AG580" s="547"/>
      <c r="AH580" s="547"/>
      <c r="AI580" s="547"/>
      <c r="AJ580" s="547"/>
      <c r="AK580" s="547"/>
      <c r="AL580" s="547"/>
      <c r="AM580" s="547"/>
      <c r="AN580" s="547"/>
      <c r="AO580" s="547"/>
      <c r="AP580" s="547"/>
      <c r="AQ580" s="547"/>
      <c r="AR580" s="547"/>
      <c r="AS580" s="547"/>
      <c r="AT580" s="547"/>
      <c r="AU580" s="547"/>
      <c r="AV580" s="547"/>
      <c r="AW580" s="547"/>
      <c r="AX580" s="547"/>
      <c r="AY580" s="547"/>
      <c r="AZ580" s="547"/>
      <c r="BA580" s="547"/>
      <c r="BB580" s="547"/>
      <c r="BC580" s="547"/>
      <c r="BD580" s="547"/>
      <c r="BE580" s="547"/>
      <c r="BF580" s="547"/>
      <c r="BG580" s="547"/>
      <c r="BH580" s="547"/>
      <c r="BI580" s="547"/>
      <c r="BJ580" s="547"/>
      <c r="BK580" s="547"/>
      <c r="BL580" s="547"/>
      <c r="BM580" s="547"/>
      <c r="BN580" s="547"/>
      <c r="BO580" s="547"/>
      <c r="BP580" s="547"/>
      <c r="BQ580" s="547"/>
      <c r="BR580" s="547"/>
      <c r="BS580" s="547"/>
      <c r="BT580" s="547"/>
      <c r="BU580" s="547"/>
      <c r="BV580" s="547"/>
      <c r="BW580" s="547"/>
      <c r="BX580" s="547"/>
      <c r="BY580" s="547"/>
      <c r="BZ580" s="547"/>
      <c r="CA580" s="547"/>
      <c r="CB580" s="547"/>
      <c r="CC580" s="547"/>
    </row>
    <row r="581" spans="1:81">
      <c r="A581" s="547"/>
      <c r="B581" s="547"/>
      <c r="C581" s="547"/>
      <c r="D581" s="547"/>
      <c r="E581" s="547"/>
      <c r="F581" s="547"/>
      <c r="G581" s="547"/>
      <c r="H581" s="547"/>
      <c r="I581" s="547"/>
      <c r="J581" s="547"/>
      <c r="K581" s="547"/>
      <c r="L581" s="547"/>
      <c r="M581" s="547"/>
      <c r="N581" s="547"/>
      <c r="O581" s="547"/>
      <c r="P581" s="547"/>
      <c r="Q581" s="547"/>
      <c r="R581" s="547"/>
      <c r="S581" s="547"/>
      <c r="T581" s="547"/>
      <c r="U581" s="547"/>
      <c r="V581" s="547"/>
      <c r="W581" s="547"/>
      <c r="X581" s="547"/>
      <c r="Y581" s="547"/>
      <c r="Z581" s="547"/>
      <c r="AA581" s="547"/>
      <c r="AB581" s="547"/>
      <c r="AC581" s="547"/>
      <c r="AD581" s="547"/>
      <c r="AE581" s="547"/>
      <c r="AF581" s="547"/>
      <c r="AG581" s="547"/>
      <c r="AH581" s="547"/>
      <c r="AI581" s="547"/>
      <c r="AJ581" s="547"/>
      <c r="AK581" s="547"/>
      <c r="AL581" s="547"/>
      <c r="AM581" s="547"/>
      <c r="AN581" s="547"/>
      <c r="AO581" s="547"/>
      <c r="AP581" s="547"/>
      <c r="AQ581" s="547"/>
      <c r="AR581" s="547"/>
      <c r="AS581" s="547"/>
      <c r="AT581" s="547"/>
      <c r="AU581" s="547"/>
      <c r="AV581" s="547"/>
      <c r="AW581" s="547"/>
      <c r="AX581" s="547"/>
      <c r="AY581" s="547"/>
      <c r="AZ581" s="547"/>
      <c r="BA581" s="547"/>
      <c r="BB581" s="547"/>
      <c r="BC581" s="547"/>
      <c r="BD581" s="547"/>
      <c r="BE581" s="547"/>
      <c r="BF581" s="547"/>
      <c r="BG581" s="547"/>
      <c r="BH581" s="547"/>
      <c r="BI581" s="547"/>
      <c r="BJ581" s="547"/>
      <c r="BK581" s="547"/>
      <c r="BL581" s="547"/>
      <c r="BM581" s="547"/>
      <c r="BN581" s="547"/>
      <c r="BO581" s="547"/>
      <c r="BP581" s="547"/>
      <c r="BQ581" s="547"/>
      <c r="BR581" s="547"/>
      <c r="BS581" s="547"/>
      <c r="BT581" s="547"/>
      <c r="BU581" s="547"/>
      <c r="BV581" s="547"/>
      <c r="BW581" s="547"/>
      <c r="BX581" s="547"/>
      <c r="BY581" s="547"/>
      <c r="BZ581" s="547"/>
      <c r="CA581" s="547"/>
      <c r="CB581" s="547"/>
      <c r="CC581" s="547"/>
    </row>
    <row r="582" spans="1:81">
      <c r="A582" s="547"/>
      <c r="B582" s="547"/>
      <c r="C582" s="547"/>
      <c r="D582" s="547"/>
      <c r="E582" s="547"/>
      <c r="F582" s="547"/>
      <c r="G582" s="547"/>
      <c r="H582" s="547"/>
      <c r="I582" s="547"/>
      <c r="J582" s="547"/>
      <c r="K582" s="547"/>
      <c r="L582" s="547"/>
      <c r="M582" s="547"/>
      <c r="N582" s="547"/>
      <c r="O582" s="547"/>
      <c r="P582" s="547"/>
      <c r="Q582" s="547"/>
      <c r="R582" s="547"/>
      <c r="S582" s="547"/>
      <c r="T582" s="547"/>
      <c r="U582" s="547"/>
      <c r="V582" s="547"/>
      <c r="W582" s="547"/>
      <c r="X582" s="547"/>
      <c r="Y582" s="547"/>
      <c r="Z582" s="547"/>
      <c r="AA582" s="547"/>
      <c r="AB582" s="547"/>
      <c r="AC582" s="547"/>
      <c r="AD582" s="547"/>
      <c r="AE582" s="547"/>
      <c r="AF582" s="547"/>
      <c r="AG582" s="547"/>
      <c r="AH582" s="547"/>
      <c r="AI582" s="547"/>
      <c r="AJ582" s="547"/>
      <c r="AK582" s="547"/>
      <c r="AL582" s="547"/>
      <c r="AM582" s="547"/>
      <c r="AN582" s="547"/>
      <c r="AO582" s="547"/>
      <c r="AP582" s="547"/>
      <c r="AQ582" s="547"/>
      <c r="AR582" s="547"/>
      <c r="AS582" s="547"/>
      <c r="AT582" s="547"/>
      <c r="AU582" s="547"/>
      <c r="AV582" s="547"/>
      <c r="AW582" s="547"/>
      <c r="AX582" s="547"/>
      <c r="AY582" s="547"/>
      <c r="AZ582" s="547"/>
      <c r="BA582" s="547"/>
      <c r="BB582" s="547"/>
      <c r="BC582" s="547"/>
      <c r="BD582" s="547"/>
      <c r="BE582" s="547"/>
      <c r="BF582" s="547"/>
      <c r="BG582" s="547"/>
      <c r="BH582" s="547"/>
      <c r="BI582" s="547"/>
      <c r="BJ582" s="547"/>
      <c r="BK582" s="547"/>
      <c r="BL582" s="547"/>
      <c r="BM582" s="547"/>
      <c r="BN582" s="547"/>
      <c r="BO582" s="547"/>
      <c r="BP582" s="547"/>
      <c r="BQ582" s="547"/>
      <c r="BR582" s="547"/>
      <c r="BS582" s="547"/>
      <c r="BT582" s="547"/>
      <c r="BU582" s="547"/>
      <c r="BV582" s="547"/>
      <c r="BW582" s="547"/>
      <c r="BX582" s="547"/>
      <c r="BY582" s="547"/>
      <c r="BZ582" s="547"/>
      <c r="CA582" s="547"/>
      <c r="CB582" s="547"/>
      <c r="CC582" s="547"/>
    </row>
    <row r="583" spans="1:81">
      <c r="A583" s="547"/>
      <c r="B583" s="547"/>
      <c r="C583" s="547"/>
      <c r="D583" s="547"/>
      <c r="E583" s="547"/>
      <c r="F583" s="547"/>
      <c r="G583" s="547"/>
      <c r="H583" s="547"/>
      <c r="I583" s="547"/>
      <c r="J583" s="547"/>
      <c r="K583" s="547"/>
      <c r="L583" s="547"/>
      <c r="M583" s="547"/>
      <c r="N583" s="547"/>
      <c r="O583" s="547"/>
      <c r="P583" s="547"/>
      <c r="Q583" s="547"/>
      <c r="R583" s="547"/>
      <c r="S583" s="547"/>
      <c r="T583" s="547"/>
      <c r="U583" s="547"/>
      <c r="V583" s="547"/>
      <c r="W583" s="547"/>
      <c r="X583" s="547"/>
      <c r="Y583" s="547"/>
      <c r="Z583" s="547"/>
      <c r="AA583" s="547"/>
      <c r="AB583" s="547"/>
      <c r="AC583" s="547"/>
      <c r="AD583" s="547"/>
      <c r="AE583" s="547"/>
      <c r="AF583" s="547"/>
      <c r="AG583" s="547"/>
      <c r="AH583" s="547"/>
      <c r="AI583" s="547"/>
      <c r="AJ583" s="547"/>
      <c r="AK583" s="547"/>
      <c r="AL583" s="547"/>
      <c r="AM583" s="547"/>
      <c r="AN583" s="547"/>
      <c r="AO583" s="547"/>
      <c r="AP583" s="547"/>
      <c r="AQ583" s="547"/>
      <c r="AR583" s="547"/>
      <c r="AS583" s="547"/>
      <c r="AT583" s="547"/>
      <c r="AU583" s="547"/>
      <c r="AV583" s="547"/>
      <c r="AW583" s="547"/>
      <c r="AX583" s="547"/>
      <c r="AY583" s="547"/>
      <c r="AZ583" s="547"/>
      <c r="BA583" s="547"/>
      <c r="BB583" s="547"/>
      <c r="BC583" s="547"/>
      <c r="BD583" s="547"/>
      <c r="BE583" s="547"/>
      <c r="BF583" s="547"/>
      <c r="BG583" s="547"/>
      <c r="BH583" s="547"/>
      <c r="BI583" s="547"/>
      <c r="BJ583" s="547"/>
      <c r="BK583" s="547"/>
      <c r="BL583" s="547"/>
      <c r="BM583" s="547"/>
      <c r="BN583" s="547"/>
      <c r="BO583" s="547"/>
      <c r="BP583" s="547"/>
      <c r="BQ583" s="547"/>
      <c r="BR583" s="547"/>
      <c r="BS583" s="547"/>
      <c r="BT583" s="547"/>
      <c r="BU583" s="547"/>
      <c r="BV583" s="547"/>
      <c r="BW583" s="547"/>
      <c r="BX583" s="547"/>
      <c r="BY583" s="547"/>
      <c r="BZ583" s="547"/>
      <c r="CA583" s="547"/>
      <c r="CB583" s="547"/>
      <c r="CC583" s="547"/>
    </row>
    <row r="584" spans="1:81">
      <c r="A584" s="547"/>
      <c r="B584" s="547"/>
      <c r="C584" s="547"/>
      <c r="D584" s="547"/>
      <c r="E584" s="547"/>
      <c r="F584" s="547"/>
      <c r="G584" s="547"/>
      <c r="H584" s="547"/>
      <c r="I584" s="547"/>
      <c r="J584" s="547"/>
      <c r="K584" s="547"/>
      <c r="L584" s="547"/>
      <c r="M584" s="547"/>
      <c r="N584" s="547"/>
      <c r="O584" s="547"/>
      <c r="P584" s="547"/>
      <c r="Q584" s="547"/>
      <c r="R584" s="547"/>
      <c r="S584" s="547"/>
      <c r="T584" s="547"/>
      <c r="U584" s="547"/>
      <c r="V584" s="547"/>
      <c r="W584" s="547"/>
      <c r="X584" s="547"/>
      <c r="Y584" s="547"/>
      <c r="Z584" s="547"/>
      <c r="AA584" s="547"/>
      <c r="AB584" s="547"/>
      <c r="AC584" s="547"/>
      <c r="AD584" s="547"/>
      <c r="AE584" s="547"/>
      <c r="AF584" s="547"/>
      <c r="AG584" s="547"/>
      <c r="AH584" s="547"/>
      <c r="AI584" s="547"/>
      <c r="AJ584" s="547"/>
      <c r="AK584" s="547"/>
      <c r="AL584" s="547"/>
      <c r="AM584" s="547"/>
      <c r="AN584" s="547"/>
      <c r="AO584" s="547"/>
      <c r="AP584" s="547"/>
      <c r="AQ584" s="547"/>
      <c r="AR584" s="547"/>
      <c r="AS584" s="547"/>
      <c r="AT584" s="547"/>
      <c r="AU584" s="547"/>
      <c r="AV584" s="547"/>
      <c r="AW584" s="547"/>
      <c r="AX584" s="547"/>
      <c r="AY584" s="547"/>
      <c r="AZ584" s="547"/>
      <c r="BA584" s="547"/>
      <c r="BB584" s="547"/>
      <c r="BC584" s="547"/>
      <c r="BD584" s="547"/>
      <c r="BE584" s="547"/>
      <c r="BF584" s="547"/>
      <c r="BG584" s="547"/>
      <c r="BH584" s="547"/>
      <c r="BI584" s="547"/>
      <c r="BJ584" s="547"/>
      <c r="BK584" s="547"/>
      <c r="BL584" s="547"/>
      <c r="BM584" s="547"/>
      <c r="BN584" s="547"/>
      <c r="BO584" s="547"/>
      <c r="BP584" s="547"/>
      <c r="BQ584" s="547"/>
      <c r="BR584" s="547"/>
      <c r="BS584" s="547"/>
      <c r="BT584" s="547"/>
      <c r="BU584" s="547"/>
      <c r="BV584" s="547"/>
      <c r="BW584" s="547"/>
      <c r="BX584" s="547"/>
      <c r="BY584" s="547"/>
      <c r="BZ584" s="547"/>
      <c r="CA584" s="547"/>
      <c r="CB584" s="547"/>
      <c r="CC584" s="547"/>
    </row>
    <row r="585" spans="1:81">
      <c r="A585" s="547"/>
      <c r="B585" s="547"/>
      <c r="C585" s="547"/>
      <c r="D585" s="547"/>
      <c r="E585" s="547"/>
      <c r="F585" s="547"/>
      <c r="G585" s="547"/>
      <c r="H585" s="547"/>
      <c r="I585" s="547"/>
      <c r="J585" s="547"/>
      <c r="K585" s="547"/>
      <c r="L585" s="547"/>
      <c r="M585" s="547"/>
      <c r="N585" s="547"/>
      <c r="O585" s="547"/>
      <c r="P585" s="547"/>
      <c r="Q585" s="547"/>
      <c r="R585" s="547"/>
      <c r="S585" s="547"/>
      <c r="T585" s="547"/>
      <c r="U585" s="547"/>
      <c r="V585" s="547"/>
      <c r="W585" s="547"/>
      <c r="X585" s="547"/>
      <c r="Y585" s="547"/>
      <c r="Z585" s="547"/>
      <c r="AA585" s="547"/>
      <c r="AB585" s="547"/>
      <c r="AC585" s="547"/>
      <c r="AD585" s="547"/>
      <c r="AE585" s="547"/>
      <c r="AF585" s="547"/>
      <c r="AG585" s="547"/>
      <c r="AH585" s="547"/>
      <c r="AI585" s="547"/>
      <c r="AJ585" s="547"/>
      <c r="AK585" s="547"/>
      <c r="AL585" s="547"/>
      <c r="AM585" s="547"/>
      <c r="AN585" s="547"/>
      <c r="AO585" s="547"/>
      <c r="AP585" s="547"/>
      <c r="AQ585" s="547"/>
      <c r="AR585" s="547"/>
      <c r="AS585" s="547"/>
      <c r="AT585" s="547"/>
      <c r="AU585" s="547"/>
      <c r="AV585" s="547"/>
      <c r="AW585" s="547"/>
      <c r="AX585" s="547"/>
      <c r="AY585" s="547"/>
      <c r="AZ585" s="547"/>
      <c r="BA585" s="547"/>
      <c r="BB585" s="547"/>
      <c r="BC585" s="547"/>
      <c r="BD585" s="547"/>
      <c r="BE585" s="547"/>
      <c r="BF585" s="547"/>
      <c r="BG585" s="547"/>
      <c r="BH585" s="547"/>
      <c r="BI585" s="547"/>
      <c r="BJ585" s="547"/>
      <c r="BK585" s="547"/>
      <c r="BL585" s="547"/>
      <c r="BM585" s="547"/>
      <c r="BN585" s="547"/>
      <c r="BO585" s="547"/>
      <c r="BP585" s="547"/>
      <c r="BQ585" s="547"/>
      <c r="BR585" s="547"/>
      <c r="BS585" s="547"/>
      <c r="BT585" s="547"/>
      <c r="BU585" s="547"/>
      <c r="BV585" s="547"/>
      <c r="BW585" s="547"/>
      <c r="BX585" s="547"/>
      <c r="BY585" s="547"/>
      <c r="BZ585" s="547"/>
      <c r="CA585" s="547"/>
      <c r="CB585" s="547"/>
      <c r="CC585" s="547"/>
    </row>
    <row r="586" spans="1:81">
      <c r="A586" s="547"/>
      <c r="B586" s="547"/>
      <c r="C586" s="547"/>
      <c r="D586" s="547"/>
      <c r="E586" s="547"/>
      <c r="F586" s="547"/>
      <c r="G586" s="547"/>
      <c r="H586" s="547"/>
      <c r="I586" s="547"/>
      <c r="J586" s="547"/>
      <c r="K586" s="547"/>
      <c r="L586" s="547"/>
      <c r="M586" s="547"/>
      <c r="N586" s="547"/>
      <c r="O586" s="547"/>
      <c r="P586" s="547"/>
      <c r="Q586" s="547"/>
      <c r="R586" s="547"/>
      <c r="S586" s="547"/>
      <c r="T586" s="547"/>
      <c r="U586" s="547"/>
      <c r="V586" s="547"/>
      <c r="W586" s="547"/>
      <c r="X586" s="547"/>
      <c r="Y586" s="547"/>
      <c r="Z586" s="547"/>
      <c r="AA586" s="547"/>
      <c r="AB586" s="547"/>
      <c r="AC586" s="547"/>
      <c r="AD586" s="547"/>
      <c r="AE586" s="547"/>
      <c r="AF586" s="547"/>
      <c r="AG586" s="547"/>
      <c r="AH586" s="547"/>
      <c r="AI586" s="547"/>
      <c r="AJ586" s="547"/>
      <c r="AK586" s="547"/>
      <c r="AL586" s="547"/>
      <c r="AM586" s="547"/>
      <c r="AN586" s="547"/>
      <c r="AO586" s="547"/>
      <c r="AP586" s="547"/>
      <c r="AQ586" s="547"/>
      <c r="AR586" s="547"/>
      <c r="AS586" s="547"/>
      <c r="AT586" s="547"/>
      <c r="AU586" s="547"/>
      <c r="AV586" s="547"/>
      <c r="AW586" s="547"/>
      <c r="AX586" s="547"/>
      <c r="AY586" s="547"/>
      <c r="AZ586" s="547"/>
      <c r="BA586" s="547"/>
      <c r="BB586" s="547"/>
      <c r="BC586" s="547"/>
      <c r="BD586" s="547"/>
      <c r="BE586" s="547"/>
      <c r="BF586" s="547"/>
      <c r="BG586" s="547"/>
      <c r="BH586" s="547"/>
      <c r="BI586" s="547"/>
      <c r="BJ586" s="547"/>
      <c r="BK586" s="547"/>
      <c r="BL586" s="547"/>
      <c r="BM586" s="547"/>
      <c r="BN586" s="547"/>
      <c r="BO586" s="547"/>
      <c r="BP586" s="547"/>
      <c r="BQ586" s="547"/>
      <c r="BR586" s="547"/>
      <c r="BS586" s="547"/>
      <c r="BT586" s="547"/>
      <c r="BU586" s="547"/>
      <c r="BV586" s="547"/>
      <c r="BW586" s="547"/>
      <c r="BX586" s="547"/>
      <c r="BY586" s="547"/>
      <c r="BZ586" s="547"/>
      <c r="CA586" s="547"/>
      <c r="CB586" s="547"/>
      <c r="CC586" s="547"/>
    </row>
    <row r="587" spans="1:81">
      <c r="A587" s="547"/>
      <c r="B587" s="547"/>
      <c r="C587" s="547"/>
      <c r="D587" s="547"/>
      <c r="E587" s="547"/>
      <c r="F587" s="547"/>
      <c r="G587" s="547"/>
      <c r="H587" s="547"/>
      <c r="I587" s="547"/>
      <c r="J587" s="547"/>
      <c r="K587" s="547"/>
      <c r="L587" s="547"/>
      <c r="M587" s="547"/>
      <c r="N587" s="547"/>
      <c r="O587" s="547"/>
      <c r="P587" s="547"/>
      <c r="Q587" s="547"/>
      <c r="R587" s="547"/>
      <c r="S587" s="547"/>
      <c r="T587" s="547"/>
      <c r="U587" s="547"/>
      <c r="V587" s="547"/>
      <c r="W587" s="547"/>
      <c r="X587" s="547"/>
      <c r="Y587" s="547"/>
      <c r="Z587" s="547"/>
      <c r="AA587" s="547"/>
      <c r="AB587" s="547"/>
      <c r="AC587" s="547"/>
      <c r="AD587" s="547"/>
      <c r="AE587" s="547"/>
      <c r="AF587" s="547"/>
      <c r="AG587" s="547"/>
      <c r="AH587" s="547"/>
      <c r="AI587" s="547"/>
      <c r="AJ587" s="547"/>
      <c r="AK587" s="547"/>
      <c r="AL587" s="547"/>
      <c r="AM587" s="547"/>
      <c r="AN587" s="547"/>
      <c r="AO587" s="547"/>
      <c r="AP587" s="547"/>
      <c r="AQ587" s="547"/>
      <c r="AR587" s="547"/>
      <c r="AS587" s="547"/>
      <c r="AT587" s="547"/>
      <c r="AU587" s="547"/>
      <c r="AV587" s="547"/>
      <c r="AW587" s="547"/>
      <c r="AX587" s="547"/>
      <c r="AY587" s="547"/>
      <c r="AZ587" s="547"/>
      <c r="BA587" s="547"/>
      <c r="BB587" s="547"/>
      <c r="BC587" s="547"/>
      <c r="BD587" s="547"/>
      <c r="BE587" s="547"/>
      <c r="BF587" s="547"/>
      <c r="BG587" s="547"/>
      <c r="BH587" s="547"/>
      <c r="BI587" s="547"/>
      <c r="BJ587" s="547"/>
      <c r="BK587" s="547"/>
      <c r="BL587" s="547"/>
      <c r="BM587" s="547"/>
      <c r="BN587" s="547"/>
      <c r="BO587" s="547"/>
      <c r="BP587" s="547"/>
      <c r="BQ587" s="547"/>
      <c r="BR587" s="547"/>
      <c r="BS587" s="547"/>
      <c r="BT587" s="547"/>
      <c r="BU587" s="547"/>
      <c r="BV587" s="547"/>
      <c r="BW587" s="547"/>
      <c r="BX587" s="547"/>
      <c r="BY587" s="547"/>
      <c r="BZ587" s="547"/>
      <c r="CA587" s="547"/>
      <c r="CB587" s="547"/>
      <c r="CC587" s="547"/>
    </row>
    <row r="588" spans="1:81">
      <c r="A588" s="547"/>
      <c r="B588" s="547"/>
      <c r="C588" s="547"/>
      <c r="D588" s="547"/>
      <c r="E588" s="547"/>
      <c r="F588" s="547"/>
      <c r="G588" s="547"/>
      <c r="H588" s="547"/>
      <c r="I588" s="547"/>
      <c r="J588" s="547"/>
      <c r="K588" s="547"/>
      <c r="L588" s="547"/>
      <c r="M588" s="547"/>
      <c r="N588" s="547"/>
      <c r="O588" s="547"/>
      <c r="P588" s="547"/>
      <c r="Q588" s="547"/>
      <c r="R588" s="547"/>
      <c r="S588" s="547"/>
      <c r="T588" s="547"/>
      <c r="U588" s="547"/>
      <c r="V588" s="547"/>
      <c r="W588" s="547"/>
      <c r="X588" s="547"/>
      <c r="Y588" s="547"/>
      <c r="Z588" s="547"/>
      <c r="AA588" s="547"/>
      <c r="AB588" s="547"/>
      <c r="AC588" s="547"/>
      <c r="AD588" s="547"/>
      <c r="AE588" s="547"/>
      <c r="AF588" s="547"/>
      <c r="AG588" s="547"/>
      <c r="AH588" s="547"/>
      <c r="AI588" s="547"/>
      <c r="AJ588" s="547"/>
      <c r="AK588" s="547"/>
      <c r="AL588" s="547"/>
      <c r="AM588" s="547"/>
      <c r="AN588" s="547"/>
      <c r="AO588" s="547"/>
      <c r="AP588" s="547"/>
      <c r="AQ588" s="547"/>
      <c r="AR588" s="547"/>
      <c r="AS588" s="547"/>
      <c r="AT588" s="547"/>
      <c r="AU588" s="547"/>
      <c r="AV588" s="547"/>
      <c r="AW588" s="547"/>
      <c r="AX588" s="547"/>
      <c r="AY588" s="547"/>
      <c r="AZ588" s="547"/>
      <c r="BA588" s="547"/>
      <c r="BB588" s="547"/>
      <c r="BC588" s="547"/>
      <c r="BD588" s="547"/>
      <c r="BE588" s="547"/>
      <c r="BF588" s="547"/>
      <c r="BG588" s="547"/>
      <c r="BH588" s="547"/>
      <c r="BI588" s="547"/>
      <c r="BJ588" s="547"/>
      <c r="BK588" s="547"/>
      <c r="BL588" s="547"/>
      <c r="BM588" s="547"/>
      <c r="BN588" s="547"/>
      <c r="BO588" s="547"/>
      <c r="BP588" s="547"/>
      <c r="BQ588" s="547"/>
      <c r="BR588" s="547"/>
      <c r="BS588" s="547"/>
      <c r="BT588" s="547"/>
      <c r="BU588" s="547"/>
      <c r="BV588" s="547"/>
      <c r="BW588" s="547"/>
      <c r="BX588" s="547"/>
      <c r="BY588" s="547"/>
      <c r="BZ588" s="547"/>
      <c r="CA588" s="547"/>
      <c r="CB588" s="547"/>
      <c r="CC588" s="547"/>
    </row>
    <row r="589" spans="1:81">
      <c r="A589" s="547"/>
      <c r="B589" s="547"/>
      <c r="C589" s="547"/>
      <c r="D589" s="547"/>
      <c r="E589" s="547"/>
      <c r="F589" s="547"/>
      <c r="G589" s="547"/>
      <c r="H589" s="547"/>
      <c r="I589" s="547"/>
      <c r="J589" s="547"/>
      <c r="K589" s="547"/>
      <c r="L589" s="547"/>
      <c r="M589" s="547"/>
      <c r="N589" s="547"/>
      <c r="O589" s="547"/>
      <c r="P589" s="547"/>
      <c r="Q589" s="547"/>
      <c r="R589" s="547"/>
      <c r="S589" s="547"/>
      <c r="T589" s="547"/>
      <c r="U589" s="547"/>
      <c r="V589" s="547"/>
      <c r="W589" s="547"/>
      <c r="X589" s="547"/>
      <c r="Y589" s="547"/>
      <c r="Z589" s="547"/>
      <c r="AA589" s="547"/>
      <c r="AB589" s="547"/>
      <c r="AC589" s="547"/>
      <c r="AD589" s="547"/>
      <c r="AE589" s="547"/>
      <c r="AF589" s="547"/>
      <c r="AG589" s="547"/>
      <c r="AH589" s="547"/>
      <c r="AI589" s="547"/>
      <c r="AJ589" s="547"/>
      <c r="AK589" s="547"/>
      <c r="AL589" s="547"/>
      <c r="AM589" s="547"/>
      <c r="AN589" s="547"/>
      <c r="AO589" s="547"/>
      <c r="AP589" s="547"/>
      <c r="AQ589" s="547"/>
      <c r="AR589" s="547"/>
      <c r="AS589" s="547"/>
      <c r="AT589" s="547"/>
      <c r="AU589" s="547"/>
      <c r="AV589" s="547"/>
      <c r="AW589" s="547"/>
      <c r="AX589" s="547"/>
      <c r="AY589" s="547"/>
      <c r="AZ589" s="547"/>
      <c r="BA589" s="547"/>
      <c r="BB589" s="547"/>
      <c r="BC589" s="547"/>
      <c r="BD589" s="547"/>
      <c r="BE589" s="547"/>
      <c r="BF589" s="547"/>
      <c r="BG589" s="547"/>
      <c r="BH589" s="547"/>
      <c r="BI589" s="547"/>
      <c r="BJ589" s="547"/>
      <c r="BK589" s="547"/>
      <c r="BL589" s="547"/>
      <c r="BM589" s="547"/>
      <c r="BN589" s="547"/>
      <c r="BO589" s="547"/>
      <c r="BP589" s="547"/>
      <c r="BQ589" s="547"/>
      <c r="BR589" s="547"/>
      <c r="BS589" s="547"/>
      <c r="BT589" s="547"/>
      <c r="BU589" s="547"/>
      <c r="BV589" s="547"/>
      <c r="BW589" s="547"/>
      <c r="BX589" s="547"/>
      <c r="BY589" s="547"/>
      <c r="BZ589" s="547"/>
      <c r="CA589" s="547"/>
      <c r="CB589" s="547"/>
      <c r="CC589" s="547"/>
    </row>
    <row r="590" spans="1:81">
      <c r="A590" s="547"/>
      <c r="B590" s="547"/>
      <c r="C590" s="547"/>
      <c r="D590" s="547"/>
      <c r="E590" s="547"/>
      <c r="F590" s="547"/>
      <c r="G590" s="547"/>
      <c r="H590" s="547"/>
      <c r="I590" s="547"/>
      <c r="J590" s="547"/>
      <c r="K590" s="547"/>
      <c r="L590" s="547"/>
      <c r="M590" s="547"/>
      <c r="N590" s="547"/>
      <c r="O590" s="547"/>
      <c r="P590" s="547"/>
      <c r="Q590" s="547"/>
      <c r="R590" s="547"/>
      <c r="S590" s="547"/>
      <c r="T590" s="547"/>
      <c r="U590" s="547"/>
      <c r="V590" s="547"/>
      <c r="W590" s="547"/>
      <c r="X590" s="547"/>
      <c r="Y590" s="547"/>
      <c r="Z590" s="547"/>
      <c r="AA590" s="547"/>
      <c r="AB590" s="547"/>
      <c r="AC590" s="547"/>
      <c r="AD590" s="547"/>
      <c r="AE590" s="547"/>
      <c r="AF590" s="547"/>
      <c r="AG590" s="547"/>
      <c r="AH590" s="547"/>
      <c r="AI590" s="547"/>
      <c r="AJ590" s="547"/>
      <c r="AK590" s="547"/>
      <c r="AL590" s="547"/>
      <c r="AM590" s="547"/>
      <c r="AN590" s="547"/>
      <c r="AO590" s="547"/>
      <c r="AP590" s="547"/>
      <c r="AQ590" s="547"/>
      <c r="AR590" s="547"/>
      <c r="AS590" s="547"/>
      <c r="AT590" s="547"/>
      <c r="AU590" s="547"/>
      <c r="AV590" s="547"/>
      <c r="AW590" s="547"/>
      <c r="AX590" s="547"/>
      <c r="AY590" s="547"/>
      <c r="AZ590" s="547"/>
      <c r="BA590" s="547"/>
      <c r="BB590" s="547"/>
      <c r="BC590" s="547"/>
      <c r="BD590" s="547"/>
      <c r="BE590" s="547"/>
      <c r="BF590" s="547"/>
      <c r="BG590" s="547"/>
      <c r="BH590" s="547"/>
      <c r="BI590" s="547"/>
      <c r="BJ590" s="547"/>
      <c r="BK590" s="547"/>
      <c r="BL590" s="547"/>
      <c r="BM590" s="547"/>
      <c r="BN590" s="547"/>
      <c r="BO590" s="547"/>
      <c r="BP590" s="547"/>
      <c r="BQ590" s="547"/>
      <c r="BR590" s="547"/>
      <c r="BS590" s="547"/>
      <c r="BT590" s="547"/>
      <c r="BU590" s="547"/>
      <c r="BV590" s="547"/>
      <c r="BW590" s="547"/>
      <c r="BX590" s="547"/>
      <c r="BY590" s="547"/>
      <c r="BZ590" s="547"/>
      <c r="CA590" s="547"/>
      <c r="CB590" s="547"/>
      <c r="CC590" s="547"/>
    </row>
    <row r="591" spans="1:81">
      <c r="A591" s="547"/>
      <c r="B591" s="547"/>
      <c r="C591" s="547"/>
      <c r="D591" s="547"/>
      <c r="E591" s="547"/>
      <c r="F591" s="547"/>
      <c r="G591" s="547"/>
      <c r="H591" s="547"/>
      <c r="I591" s="547"/>
      <c r="J591" s="547"/>
      <c r="K591" s="547"/>
      <c r="L591" s="547"/>
      <c r="M591" s="547"/>
      <c r="N591" s="547"/>
      <c r="O591" s="547"/>
      <c r="P591" s="547"/>
      <c r="Q591" s="547"/>
      <c r="R591" s="547"/>
      <c r="S591" s="547"/>
      <c r="T591" s="547"/>
      <c r="U591" s="547"/>
      <c r="V591" s="547"/>
      <c r="W591" s="547"/>
      <c r="X591" s="547"/>
      <c r="Y591" s="547"/>
      <c r="Z591" s="547"/>
      <c r="AA591" s="547"/>
      <c r="AB591" s="547"/>
      <c r="AC591" s="547"/>
      <c r="AD591" s="547"/>
      <c r="AE591" s="547"/>
      <c r="AF591" s="547"/>
      <c r="AG591" s="547"/>
      <c r="AH591" s="547"/>
      <c r="AI591" s="547"/>
      <c r="AJ591" s="547"/>
      <c r="AK591" s="547"/>
      <c r="AL591" s="547"/>
      <c r="AM591" s="547"/>
      <c r="AN591" s="547"/>
      <c r="AO591" s="547"/>
      <c r="AP591" s="547"/>
      <c r="AQ591" s="547"/>
      <c r="AR591" s="547"/>
      <c r="AS591" s="547"/>
      <c r="AT591" s="547"/>
      <c r="AU591" s="547"/>
      <c r="AV591" s="547"/>
      <c r="AW591" s="547"/>
      <c r="AX591" s="547"/>
      <c r="AY591" s="547"/>
      <c r="AZ591" s="547"/>
      <c r="BA591" s="547"/>
      <c r="BB591" s="547"/>
      <c r="BC591" s="547"/>
      <c r="BD591" s="547"/>
      <c r="BE591" s="547"/>
      <c r="BF591" s="547"/>
      <c r="BG591" s="547"/>
      <c r="BH591" s="547"/>
      <c r="BI591" s="547"/>
      <c r="BJ591" s="547"/>
      <c r="BK591" s="547"/>
      <c r="BL591" s="547"/>
      <c r="BM591" s="547"/>
      <c r="BN591" s="547"/>
      <c r="BO591" s="547"/>
      <c r="BP591" s="547"/>
      <c r="BQ591" s="547"/>
      <c r="BR591" s="547"/>
      <c r="BS591" s="547"/>
      <c r="BT591" s="547"/>
      <c r="BU591" s="547"/>
      <c r="BV591" s="547"/>
      <c r="BW591" s="547"/>
      <c r="BX591" s="547"/>
      <c r="BY591" s="547"/>
      <c r="BZ591" s="547"/>
      <c r="CA591" s="547"/>
      <c r="CB591" s="547"/>
      <c r="CC591" s="547"/>
    </row>
    <row r="592" spans="1:81">
      <c r="A592" s="547"/>
      <c r="B592" s="547"/>
      <c r="C592" s="547"/>
      <c r="D592" s="547"/>
      <c r="E592" s="547"/>
      <c r="F592" s="547"/>
      <c r="G592" s="547"/>
      <c r="H592" s="547"/>
      <c r="I592" s="547"/>
      <c r="J592" s="547"/>
      <c r="K592" s="547"/>
      <c r="L592" s="547"/>
      <c r="M592" s="547"/>
      <c r="N592" s="547"/>
      <c r="O592" s="547"/>
      <c r="P592" s="547"/>
      <c r="Q592" s="547"/>
      <c r="R592" s="547"/>
      <c r="S592" s="547"/>
      <c r="T592" s="547"/>
      <c r="U592" s="547"/>
      <c r="V592" s="547"/>
      <c r="W592" s="547"/>
      <c r="X592" s="547"/>
      <c r="Y592" s="547"/>
      <c r="Z592" s="547"/>
      <c r="AA592" s="547"/>
      <c r="AB592" s="547"/>
      <c r="AC592" s="547"/>
      <c r="AD592" s="547"/>
      <c r="AE592" s="547"/>
      <c r="AF592" s="547"/>
      <c r="AG592" s="547"/>
      <c r="AH592" s="547"/>
      <c r="AI592" s="547"/>
      <c r="AJ592" s="547"/>
      <c r="AK592" s="547"/>
      <c r="AL592" s="547"/>
      <c r="AM592" s="547"/>
      <c r="AN592" s="547"/>
      <c r="AO592" s="547"/>
      <c r="AP592" s="547"/>
      <c r="AQ592" s="547"/>
      <c r="AR592" s="547"/>
      <c r="AS592" s="547"/>
      <c r="AT592" s="547"/>
      <c r="AU592" s="547"/>
      <c r="AV592" s="547"/>
      <c r="AW592" s="547"/>
      <c r="AX592" s="547"/>
      <c r="AY592" s="547"/>
      <c r="AZ592" s="547"/>
      <c r="BA592" s="547"/>
      <c r="BB592" s="547"/>
      <c r="BC592" s="547"/>
      <c r="BD592" s="547"/>
      <c r="BE592" s="547"/>
      <c r="BF592" s="547"/>
      <c r="BG592" s="547"/>
      <c r="BH592" s="547"/>
      <c r="BI592" s="547"/>
      <c r="BJ592" s="547"/>
      <c r="BK592" s="547"/>
      <c r="BL592" s="547"/>
      <c r="BM592" s="547"/>
      <c r="BN592" s="547"/>
      <c r="BO592" s="547"/>
      <c r="BP592" s="547"/>
      <c r="BQ592" s="547"/>
      <c r="BR592" s="547"/>
      <c r="BS592" s="547"/>
      <c r="BT592" s="547"/>
      <c r="BU592" s="547"/>
      <c r="BV592" s="547"/>
      <c r="BW592" s="547"/>
      <c r="BX592" s="547"/>
      <c r="BY592" s="547"/>
      <c r="BZ592" s="547"/>
      <c r="CA592" s="547"/>
      <c r="CB592" s="547"/>
      <c r="CC592" s="547"/>
    </row>
    <row r="593" spans="1:81">
      <c r="A593" s="547"/>
      <c r="B593" s="547"/>
      <c r="C593" s="547"/>
      <c r="D593" s="547"/>
      <c r="E593" s="547"/>
      <c r="F593" s="547"/>
      <c r="G593" s="547"/>
      <c r="H593" s="547"/>
      <c r="I593" s="547"/>
      <c r="J593" s="547"/>
      <c r="K593" s="547"/>
      <c r="L593" s="547"/>
      <c r="M593" s="547"/>
      <c r="N593" s="547"/>
      <c r="O593" s="547"/>
      <c r="P593" s="547"/>
      <c r="Q593" s="547"/>
      <c r="R593" s="547"/>
      <c r="S593" s="547"/>
      <c r="T593" s="547"/>
      <c r="U593" s="547"/>
      <c r="V593" s="547"/>
      <c r="W593" s="547"/>
      <c r="X593" s="547"/>
      <c r="Y593" s="547"/>
      <c r="Z593" s="547"/>
      <c r="AA593" s="547"/>
      <c r="AB593" s="547"/>
      <c r="AC593" s="547"/>
      <c r="AD593" s="547"/>
      <c r="AE593" s="547"/>
      <c r="AF593" s="547"/>
      <c r="AG593" s="547"/>
      <c r="AH593" s="547"/>
      <c r="AI593" s="547"/>
      <c r="AJ593" s="547"/>
      <c r="AK593" s="547"/>
      <c r="AL593" s="547"/>
      <c r="AM593" s="547"/>
      <c r="AN593" s="547"/>
      <c r="AO593" s="547"/>
      <c r="AP593" s="547"/>
      <c r="AQ593" s="547"/>
      <c r="AR593" s="547"/>
      <c r="AS593" s="547"/>
      <c r="AT593" s="547"/>
      <c r="AU593" s="547"/>
      <c r="AV593" s="547"/>
      <c r="AW593" s="547"/>
      <c r="AX593" s="547"/>
      <c r="AY593" s="547"/>
      <c r="AZ593" s="547"/>
      <c r="BA593" s="547"/>
      <c r="BB593" s="547"/>
      <c r="BC593" s="547"/>
      <c r="BD593" s="547"/>
      <c r="BE593" s="547"/>
      <c r="BF593" s="547"/>
      <c r="BG593" s="547"/>
      <c r="BH593" s="547"/>
      <c r="BI593" s="547"/>
      <c r="BJ593" s="547"/>
      <c r="BK593" s="547"/>
      <c r="BL593" s="547"/>
      <c r="BM593" s="547"/>
      <c r="BN593" s="547"/>
      <c r="BO593" s="547"/>
      <c r="BP593" s="547"/>
      <c r="BQ593" s="547"/>
      <c r="BR593" s="547"/>
      <c r="BS593" s="547"/>
      <c r="BT593" s="547"/>
      <c r="BU593" s="547"/>
      <c r="BV593" s="547"/>
      <c r="BW593" s="547"/>
      <c r="BX593" s="547"/>
      <c r="BY593" s="547"/>
      <c r="BZ593" s="547"/>
      <c r="CA593" s="547"/>
      <c r="CB593" s="547"/>
      <c r="CC593" s="547"/>
    </row>
    <row r="594" spans="1:81">
      <c r="A594" s="547"/>
      <c r="B594" s="547"/>
      <c r="C594" s="547"/>
      <c r="D594" s="547"/>
      <c r="E594" s="547"/>
      <c r="F594" s="547"/>
      <c r="G594" s="547"/>
      <c r="H594" s="547"/>
      <c r="I594" s="547"/>
      <c r="J594" s="547"/>
      <c r="K594" s="547"/>
      <c r="L594" s="547"/>
      <c r="M594" s="547"/>
      <c r="N594" s="547"/>
      <c r="O594" s="547"/>
      <c r="P594" s="547"/>
      <c r="Q594" s="547"/>
      <c r="R594" s="547"/>
      <c r="S594" s="547"/>
      <c r="T594" s="547"/>
      <c r="U594" s="547"/>
      <c r="V594" s="547"/>
      <c r="W594" s="547"/>
      <c r="X594" s="547"/>
      <c r="Y594" s="547"/>
      <c r="Z594" s="547"/>
      <c r="AA594" s="547"/>
      <c r="AB594" s="547"/>
      <c r="AC594" s="547"/>
      <c r="AD594" s="547"/>
      <c r="AE594" s="547"/>
      <c r="AF594" s="547"/>
      <c r="AG594" s="547"/>
      <c r="AH594" s="547"/>
      <c r="AI594" s="547"/>
      <c r="AJ594" s="547"/>
      <c r="AK594" s="547"/>
      <c r="AL594" s="547"/>
      <c r="AM594" s="547"/>
      <c r="AN594" s="547"/>
      <c r="AO594" s="547"/>
      <c r="AP594" s="547"/>
      <c r="AQ594" s="547"/>
      <c r="AR594" s="547"/>
      <c r="AS594" s="547"/>
      <c r="AT594" s="547"/>
      <c r="AU594" s="547"/>
      <c r="AV594" s="547"/>
      <c r="AW594" s="547"/>
      <c r="AX594" s="547"/>
      <c r="AY594" s="547"/>
      <c r="AZ594" s="547"/>
      <c r="BA594" s="547"/>
      <c r="BB594" s="547"/>
      <c r="BC594" s="547"/>
      <c r="BD594" s="547"/>
      <c r="BE594" s="547"/>
      <c r="BF594" s="547"/>
      <c r="BG594" s="547"/>
      <c r="BH594" s="547"/>
      <c r="BI594" s="547"/>
      <c r="BJ594" s="547"/>
      <c r="BK594" s="547"/>
      <c r="BL594" s="547"/>
      <c r="BM594" s="547"/>
      <c r="BN594" s="547"/>
      <c r="BO594" s="547"/>
      <c r="BP594" s="547"/>
      <c r="BQ594" s="547"/>
      <c r="BR594" s="547"/>
      <c r="BS594" s="547"/>
      <c r="BT594" s="547"/>
      <c r="BU594" s="547"/>
      <c r="BV594" s="547"/>
      <c r="BW594" s="547"/>
      <c r="BX594" s="547"/>
      <c r="BY594" s="547"/>
      <c r="BZ594" s="547"/>
      <c r="CA594" s="547"/>
      <c r="CB594" s="547"/>
      <c r="CC594" s="547"/>
    </row>
    <row r="595" spans="1:81">
      <c r="A595" s="547"/>
      <c r="B595" s="547"/>
      <c r="C595" s="547"/>
      <c r="D595" s="547"/>
      <c r="E595" s="547"/>
      <c r="F595" s="547"/>
      <c r="G595" s="547"/>
      <c r="H595" s="547"/>
      <c r="I595" s="547"/>
      <c r="J595" s="547"/>
      <c r="K595" s="547"/>
      <c r="L595" s="547"/>
      <c r="M595" s="547"/>
      <c r="N595" s="547"/>
      <c r="O595" s="547"/>
      <c r="P595" s="547"/>
      <c r="Q595" s="547"/>
      <c r="R595" s="547"/>
      <c r="S595" s="547"/>
      <c r="T595" s="547"/>
      <c r="U595" s="547"/>
      <c r="V595" s="547"/>
      <c r="W595" s="547"/>
      <c r="X595" s="547"/>
      <c r="Y595" s="547"/>
      <c r="Z595" s="547"/>
      <c r="AA595" s="547"/>
      <c r="AB595" s="547"/>
      <c r="AC595" s="547"/>
      <c r="AD595" s="547"/>
      <c r="AE595" s="547"/>
      <c r="AF595" s="547"/>
      <c r="AG595" s="547"/>
      <c r="AH595" s="547"/>
      <c r="AI595" s="547"/>
      <c r="AJ595" s="547"/>
      <c r="AK595" s="547"/>
      <c r="AL595" s="547"/>
      <c r="AM595" s="547"/>
      <c r="AN595" s="547"/>
      <c r="AO595" s="547"/>
      <c r="AP595" s="547"/>
      <c r="AQ595" s="547"/>
      <c r="AR595" s="547"/>
      <c r="AS595" s="547"/>
      <c r="AT595" s="547"/>
      <c r="AU595" s="547"/>
      <c r="AV595" s="547"/>
      <c r="AW595" s="547"/>
      <c r="AX595" s="547"/>
      <c r="AY595" s="547"/>
      <c r="AZ595" s="547"/>
      <c r="BA595" s="547"/>
      <c r="BB595" s="547"/>
      <c r="BC595" s="547"/>
      <c r="BD595" s="547"/>
      <c r="BE595" s="547"/>
      <c r="BF595" s="547"/>
      <c r="BG595" s="547"/>
      <c r="BH595" s="547"/>
      <c r="BI595" s="547"/>
      <c r="BJ595" s="547"/>
      <c r="BK595" s="547"/>
      <c r="BL595" s="547"/>
      <c r="BM595" s="547"/>
      <c r="BN595" s="547"/>
      <c r="BO595" s="547"/>
      <c r="BP595" s="547"/>
      <c r="BQ595" s="547"/>
      <c r="BR595" s="547"/>
      <c r="BS595" s="547"/>
      <c r="BT595" s="547"/>
      <c r="BU595" s="547"/>
      <c r="BV595" s="547"/>
      <c r="BW595" s="547"/>
      <c r="BX595" s="547"/>
      <c r="BY595" s="547"/>
      <c r="BZ595" s="547"/>
      <c r="CA595" s="547"/>
      <c r="CB595" s="547"/>
      <c r="CC595" s="547"/>
    </row>
    <row r="596" spans="1:81">
      <c r="A596" s="547"/>
      <c r="B596" s="547"/>
      <c r="C596" s="547"/>
      <c r="D596" s="547"/>
      <c r="E596" s="547"/>
      <c r="F596" s="547"/>
      <c r="G596" s="547"/>
      <c r="H596" s="547"/>
      <c r="I596" s="547"/>
      <c r="J596" s="547"/>
      <c r="K596" s="547"/>
      <c r="L596" s="547"/>
      <c r="M596" s="547"/>
      <c r="N596" s="547"/>
      <c r="O596" s="547"/>
      <c r="P596" s="547"/>
      <c r="Q596" s="547"/>
      <c r="R596" s="547"/>
      <c r="S596" s="547"/>
      <c r="T596" s="547"/>
      <c r="U596" s="547"/>
      <c r="V596" s="547"/>
      <c r="W596" s="547"/>
      <c r="X596" s="547"/>
      <c r="Y596" s="547"/>
      <c r="Z596" s="547"/>
      <c r="AA596" s="547"/>
      <c r="AB596" s="547"/>
      <c r="AC596" s="547"/>
      <c r="AD596" s="547"/>
      <c r="AE596" s="547"/>
      <c r="AF596" s="547"/>
      <c r="AG596" s="547"/>
      <c r="AH596" s="547"/>
      <c r="AI596" s="547"/>
      <c r="AJ596" s="547"/>
      <c r="AK596" s="547"/>
      <c r="AL596" s="547"/>
      <c r="AM596" s="547"/>
      <c r="AN596" s="547"/>
      <c r="AO596" s="547"/>
      <c r="AP596" s="547"/>
      <c r="AQ596" s="547"/>
      <c r="AR596" s="547"/>
      <c r="AS596" s="547"/>
      <c r="AT596" s="547"/>
      <c r="AU596" s="547"/>
      <c r="AV596" s="547"/>
      <c r="AW596" s="547"/>
      <c r="AX596" s="547"/>
      <c r="AY596" s="547"/>
      <c r="AZ596" s="547"/>
      <c r="BA596" s="547"/>
      <c r="BB596" s="547"/>
      <c r="BC596" s="547"/>
      <c r="BD596" s="547"/>
      <c r="BE596" s="547"/>
      <c r="BF596" s="547"/>
      <c r="BG596" s="547"/>
      <c r="BH596" s="547"/>
      <c r="BI596" s="547"/>
      <c r="BJ596" s="547"/>
      <c r="BK596" s="547"/>
      <c r="BL596" s="547"/>
      <c r="BM596" s="547"/>
      <c r="BN596" s="547"/>
      <c r="BO596" s="547"/>
      <c r="BP596" s="547"/>
      <c r="BQ596" s="547"/>
      <c r="BR596" s="547"/>
      <c r="BS596" s="547"/>
      <c r="BT596" s="547"/>
      <c r="BU596" s="547"/>
      <c r="BV596" s="547"/>
      <c r="BW596" s="547"/>
      <c r="BX596" s="547"/>
      <c r="BY596" s="547"/>
      <c r="BZ596" s="547"/>
      <c r="CA596" s="547"/>
      <c r="CB596" s="547"/>
      <c r="CC596" s="547"/>
    </row>
    <row r="597" spans="1:81">
      <c r="A597" s="547"/>
      <c r="B597" s="547"/>
      <c r="C597" s="547"/>
      <c r="D597" s="547"/>
      <c r="E597" s="547"/>
      <c r="F597" s="547"/>
      <c r="G597" s="547"/>
      <c r="H597" s="547"/>
      <c r="I597" s="547"/>
      <c r="J597" s="547"/>
      <c r="K597" s="547"/>
      <c r="L597" s="547"/>
      <c r="M597" s="547"/>
      <c r="N597" s="547"/>
      <c r="O597" s="547"/>
      <c r="P597" s="547"/>
      <c r="Q597" s="547"/>
      <c r="R597" s="547"/>
      <c r="S597" s="547"/>
      <c r="T597" s="547"/>
      <c r="U597" s="547"/>
      <c r="V597" s="547"/>
      <c r="W597" s="547"/>
      <c r="X597" s="547"/>
      <c r="Y597" s="547"/>
      <c r="Z597" s="547"/>
      <c r="AA597" s="547"/>
      <c r="AB597" s="547"/>
      <c r="AC597" s="547"/>
      <c r="AD597" s="547"/>
      <c r="AE597" s="547"/>
      <c r="AF597" s="547"/>
      <c r="AG597" s="547"/>
      <c r="AH597" s="547"/>
      <c r="AI597" s="547"/>
      <c r="AJ597" s="547"/>
      <c r="AK597" s="547"/>
      <c r="AL597" s="547"/>
      <c r="AM597" s="547"/>
      <c r="AN597" s="547"/>
      <c r="AO597" s="547"/>
      <c r="AP597" s="547"/>
      <c r="AQ597" s="547"/>
      <c r="AR597" s="547"/>
      <c r="AS597" s="547"/>
      <c r="AT597" s="547"/>
      <c r="AU597" s="547"/>
      <c r="AV597" s="547"/>
      <c r="AW597" s="547"/>
      <c r="AX597" s="547"/>
      <c r="AY597" s="547"/>
      <c r="AZ597" s="547"/>
      <c r="BA597" s="547"/>
      <c r="BB597" s="547"/>
      <c r="BC597" s="547"/>
      <c r="BD597" s="547"/>
      <c r="BE597" s="547"/>
      <c r="BF597" s="547"/>
      <c r="BG597" s="547"/>
      <c r="BH597" s="547"/>
      <c r="BI597" s="547"/>
      <c r="BJ597" s="547"/>
      <c r="BK597" s="547"/>
      <c r="BL597" s="547"/>
      <c r="BM597" s="547"/>
      <c r="BN597" s="547"/>
      <c r="BO597" s="547"/>
      <c r="BP597" s="547"/>
      <c r="BQ597" s="547"/>
      <c r="BR597" s="547"/>
      <c r="BS597" s="547"/>
      <c r="BT597" s="547"/>
      <c r="BU597" s="547"/>
      <c r="BV597" s="547"/>
      <c r="BW597" s="547"/>
      <c r="BX597" s="547"/>
      <c r="BY597" s="547"/>
      <c r="BZ597" s="547"/>
      <c r="CA597" s="547"/>
      <c r="CB597" s="547"/>
      <c r="CC597" s="547"/>
    </row>
    <row r="598" spans="1:81">
      <c r="A598" s="547"/>
      <c r="B598" s="547"/>
      <c r="C598" s="547"/>
      <c r="D598" s="547"/>
      <c r="E598" s="547"/>
      <c r="F598" s="547"/>
      <c r="G598" s="547"/>
      <c r="H598" s="547"/>
      <c r="I598" s="547"/>
      <c r="J598" s="547"/>
      <c r="K598" s="547"/>
      <c r="L598" s="547"/>
      <c r="M598" s="547"/>
      <c r="N598" s="547"/>
      <c r="O598" s="547"/>
      <c r="P598" s="547"/>
      <c r="Q598" s="547"/>
      <c r="R598" s="547"/>
      <c r="S598" s="547"/>
      <c r="T598" s="547"/>
      <c r="U598" s="547"/>
      <c r="V598" s="547"/>
      <c r="W598" s="547"/>
      <c r="X598" s="547"/>
      <c r="Y598" s="547"/>
      <c r="Z598" s="547"/>
      <c r="AA598" s="547"/>
      <c r="AB598" s="547"/>
      <c r="AC598" s="547"/>
      <c r="AD598" s="547"/>
      <c r="AE598" s="547"/>
      <c r="AF598" s="547"/>
      <c r="AG598" s="547"/>
      <c r="AH598" s="547"/>
      <c r="AI598" s="547"/>
      <c r="AJ598" s="547"/>
      <c r="AK598" s="547"/>
      <c r="AL598" s="547"/>
      <c r="AM598" s="547"/>
      <c r="AN598" s="547"/>
      <c r="AO598" s="547"/>
      <c r="AP598" s="547"/>
      <c r="AQ598" s="547"/>
      <c r="AR598" s="547"/>
      <c r="AS598" s="547"/>
      <c r="AT598" s="547"/>
      <c r="AU598" s="547"/>
      <c r="AV598" s="547"/>
      <c r="AW598" s="547"/>
      <c r="AX598" s="547"/>
      <c r="AY598" s="547"/>
      <c r="AZ598" s="547"/>
      <c r="BA598" s="547"/>
      <c r="BB598" s="547"/>
      <c r="BC598" s="547"/>
      <c r="BD598" s="547"/>
      <c r="BE598" s="547"/>
      <c r="BF598" s="547"/>
      <c r="BG598" s="547"/>
      <c r="BH598" s="547"/>
      <c r="BI598" s="547"/>
      <c r="BJ598" s="547"/>
      <c r="BK598" s="547"/>
      <c r="BL598" s="547"/>
      <c r="BM598" s="547"/>
      <c r="BN598" s="547"/>
      <c r="BO598" s="547"/>
      <c r="BP598" s="547"/>
      <c r="BQ598" s="547"/>
      <c r="BR598" s="547"/>
      <c r="BS598" s="547"/>
      <c r="BT598" s="547"/>
      <c r="BU598" s="547"/>
      <c r="BV598" s="547"/>
      <c r="BW598" s="547"/>
      <c r="BX598" s="547"/>
      <c r="BY598" s="547"/>
      <c r="BZ598" s="547"/>
      <c r="CA598" s="547"/>
      <c r="CB598" s="547"/>
      <c r="CC598" s="547"/>
    </row>
    <row r="599" spans="1:81">
      <c r="A599" s="547"/>
      <c r="B599" s="547"/>
      <c r="C599" s="547"/>
      <c r="D599" s="547"/>
      <c r="E599" s="547"/>
      <c r="F599" s="547"/>
      <c r="G599" s="547"/>
      <c r="H599" s="547"/>
      <c r="I599" s="547"/>
      <c r="J599" s="547"/>
      <c r="K599" s="547"/>
      <c r="L599" s="547"/>
      <c r="M599" s="547"/>
      <c r="N599" s="547"/>
      <c r="O599" s="547"/>
      <c r="P599" s="547"/>
      <c r="Q599" s="547"/>
      <c r="R599" s="547"/>
      <c r="S599" s="547"/>
      <c r="T599" s="547"/>
      <c r="U599" s="547"/>
      <c r="V599" s="547"/>
      <c r="W599" s="547"/>
      <c r="X599" s="547"/>
      <c r="Y599" s="547"/>
      <c r="Z599" s="547"/>
      <c r="AA599" s="547"/>
      <c r="AB599" s="547"/>
      <c r="AC599" s="547"/>
      <c r="AD599" s="547"/>
      <c r="AE599" s="547"/>
      <c r="AF599" s="547"/>
      <c r="AG599" s="547"/>
      <c r="AH599" s="547"/>
      <c r="AI599" s="547"/>
      <c r="AJ599" s="547"/>
      <c r="AK599" s="547"/>
      <c r="AL599" s="547"/>
      <c r="AM599" s="547"/>
      <c r="AN599" s="547"/>
      <c r="AO599" s="547"/>
      <c r="AP599" s="547"/>
      <c r="AQ599" s="547"/>
      <c r="AR599" s="547"/>
      <c r="AS599" s="547"/>
      <c r="AT599" s="547"/>
      <c r="AU599" s="547"/>
      <c r="AV599" s="547"/>
      <c r="AW599" s="547"/>
      <c r="AX599" s="547"/>
      <c r="AY599" s="547"/>
      <c r="AZ599" s="547"/>
      <c r="BA599" s="547"/>
      <c r="BB599" s="547"/>
      <c r="BC599" s="547"/>
      <c r="BD599" s="547"/>
      <c r="BE599" s="547"/>
      <c r="BF599" s="547"/>
      <c r="BG599" s="547"/>
      <c r="BH599" s="547"/>
      <c r="BI599" s="547"/>
      <c r="BJ599" s="547"/>
      <c r="BK599" s="547"/>
      <c r="BL599" s="547"/>
      <c r="BM599" s="547"/>
      <c r="BN599" s="547"/>
      <c r="BO599" s="547"/>
      <c r="BP599" s="547"/>
      <c r="BQ599" s="547"/>
      <c r="BR599" s="547"/>
      <c r="BS599" s="547"/>
      <c r="BT599" s="547"/>
      <c r="BU599" s="547"/>
      <c r="BV599" s="547"/>
      <c r="BW599" s="547"/>
      <c r="BX599" s="547"/>
      <c r="BY599" s="547"/>
      <c r="BZ599" s="547"/>
      <c r="CA599" s="547"/>
      <c r="CB599" s="547"/>
      <c r="CC599" s="547"/>
    </row>
    <row r="600" spans="1:81">
      <c r="A600" s="547"/>
      <c r="B600" s="547"/>
      <c r="C600" s="547"/>
      <c r="D600" s="547"/>
      <c r="E600" s="547"/>
      <c r="F600" s="547"/>
      <c r="G600" s="547"/>
      <c r="H600" s="547"/>
      <c r="I600" s="547"/>
      <c r="J600" s="547"/>
      <c r="K600" s="547"/>
      <c r="L600" s="547"/>
      <c r="M600" s="547"/>
      <c r="N600" s="547"/>
      <c r="O600" s="547"/>
      <c r="P600" s="547"/>
      <c r="Q600" s="547"/>
      <c r="R600" s="547"/>
      <c r="S600" s="547"/>
      <c r="T600" s="547"/>
      <c r="U600" s="547"/>
      <c r="V600" s="547"/>
      <c r="W600" s="547"/>
      <c r="X600" s="547"/>
      <c r="Y600" s="547"/>
      <c r="Z600" s="547"/>
      <c r="AA600" s="547"/>
      <c r="AB600" s="547"/>
      <c r="AC600" s="547"/>
      <c r="AD600" s="547"/>
      <c r="AE600" s="547"/>
      <c r="AF600" s="547"/>
      <c r="AG600" s="547"/>
      <c r="AH600" s="547"/>
      <c r="AI600" s="547"/>
      <c r="AJ600" s="547"/>
      <c r="AK600" s="547"/>
      <c r="AL600" s="547"/>
      <c r="AM600" s="547"/>
      <c r="AN600" s="547"/>
      <c r="AO600" s="547"/>
      <c r="AP600" s="547"/>
      <c r="AQ600" s="547"/>
      <c r="AR600" s="547"/>
      <c r="AS600" s="547"/>
      <c r="AT600" s="547"/>
      <c r="AU600" s="547"/>
      <c r="AV600" s="547"/>
      <c r="AW600" s="547"/>
      <c r="AX600" s="547"/>
      <c r="AY600" s="547"/>
      <c r="AZ600" s="547"/>
      <c r="BA600" s="547"/>
      <c r="BB600" s="547"/>
      <c r="BC600" s="547"/>
      <c r="BD600" s="547"/>
      <c r="BE600" s="547"/>
      <c r="BF600" s="547"/>
      <c r="BG600" s="547"/>
      <c r="BH600" s="547"/>
      <c r="BI600" s="547"/>
      <c r="BJ600" s="547"/>
      <c r="BK600" s="547"/>
      <c r="BL600" s="547"/>
      <c r="BM600" s="547"/>
      <c r="BN600" s="547"/>
      <c r="BO600" s="547"/>
      <c r="BP600" s="547"/>
      <c r="BQ600" s="547"/>
      <c r="BR600" s="547"/>
      <c r="BS600" s="547"/>
      <c r="BT600" s="547"/>
      <c r="BU600" s="547"/>
      <c r="BV600" s="547"/>
      <c r="BW600" s="547"/>
      <c r="BX600" s="547"/>
      <c r="BY600" s="547"/>
      <c r="BZ600" s="547"/>
      <c r="CA600" s="547"/>
      <c r="CB600" s="547"/>
      <c r="CC600" s="547"/>
    </row>
    <row r="601" spans="1:81">
      <c r="A601" s="547"/>
      <c r="B601" s="547"/>
      <c r="C601" s="547"/>
      <c r="D601" s="547"/>
      <c r="E601" s="547"/>
      <c r="F601" s="547"/>
      <c r="G601" s="547"/>
      <c r="H601" s="547"/>
      <c r="I601" s="547"/>
      <c r="J601" s="547"/>
      <c r="K601" s="547"/>
      <c r="L601" s="547"/>
      <c r="M601" s="547"/>
      <c r="N601" s="547"/>
      <c r="O601" s="547"/>
      <c r="P601" s="547"/>
      <c r="Q601" s="547"/>
      <c r="R601" s="547"/>
      <c r="S601" s="547"/>
      <c r="T601" s="547"/>
      <c r="U601" s="547"/>
      <c r="V601" s="547"/>
      <c r="W601" s="547"/>
      <c r="X601" s="547"/>
      <c r="Y601" s="547"/>
      <c r="Z601" s="547"/>
      <c r="AA601" s="547"/>
      <c r="AB601" s="547"/>
      <c r="AC601" s="547"/>
      <c r="AD601" s="547"/>
      <c r="AE601" s="547"/>
      <c r="AF601" s="547"/>
      <c r="AG601" s="547"/>
      <c r="AH601" s="547"/>
      <c r="AI601" s="547"/>
      <c r="AJ601" s="547"/>
      <c r="AK601" s="547"/>
      <c r="AL601" s="547"/>
      <c r="AM601" s="547"/>
      <c r="AN601" s="547"/>
      <c r="AO601" s="547"/>
      <c r="AP601" s="547"/>
      <c r="AQ601" s="547"/>
      <c r="AR601" s="547"/>
      <c r="AS601" s="547"/>
      <c r="AT601" s="547"/>
      <c r="AU601" s="547"/>
      <c r="AV601" s="547"/>
      <c r="AW601" s="547"/>
      <c r="AX601" s="547"/>
      <c r="AY601" s="547"/>
      <c r="AZ601" s="547"/>
      <c r="BA601" s="547"/>
      <c r="BB601" s="547"/>
      <c r="BC601" s="547"/>
      <c r="BD601" s="547"/>
      <c r="BE601" s="547"/>
      <c r="BF601" s="547"/>
      <c r="BG601" s="547"/>
      <c r="BH601" s="547"/>
      <c r="BI601" s="547"/>
      <c r="BJ601" s="547"/>
      <c r="BK601" s="547"/>
      <c r="BL601" s="547"/>
      <c r="BM601" s="547"/>
      <c r="BN601" s="547"/>
      <c r="BO601" s="547"/>
      <c r="BP601" s="547"/>
      <c r="BQ601" s="547"/>
      <c r="BR601" s="547"/>
      <c r="BS601" s="547"/>
      <c r="BT601" s="547"/>
      <c r="BU601" s="547"/>
      <c r="BV601" s="547"/>
      <c r="BW601" s="547"/>
      <c r="BX601" s="547"/>
      <c r="BY601" s="547"/>
      <c r="BZ601" s="547"/>
      <c r="CA601" s="547"/>
      <c r="CB601" s="547"/>
      <c r="CC601" s="547"/>
    </row>
    <row r="602" spans="1:81">
      <c r="A602" s="547"/>
      <c r="B602" s="547"/>
      <c r="C602" s="547"/>
      <c r="D602" s="547"/>
      <c r="E602" s="547"/>
      <c r="F602" s="547"/>
      <c r="G602" s="547"/>
      <c r="H602" s="547"/>
      <c r="I602" s="547"/>
      <c r="J602" s="547"/>
      <c r="K602" s="547"/>
      <c r="L602" s="547"/>
      <c r="M602" s="547"/>
      <c r="N602" s="547"/>
      <c r="O602" s="547"/>
      <c r="P602" s="547"/>
      <c r="Q602" s="547"/>
      <c r="R602" s="547"/>
      <c r="S602" s="547"/>
      <c r="T602" s="547"/>
      <c r="U602" s="547"/>
      <c r="V602" s="547"/>
      <c r="W602" s="547"/>
      <c r="X602" s="547"/>
      <c r="Y602" s="547"/>
      <c r="Z602" s="547"/>
      <c r="AA602" s="547"/>
      <c r="AB602" s="547"/>
      <c r="AC602" s="547"/>
      <c r="AD602" s="547"/>
      <c r="AE602" s="547"/>
      <c r="AF602" s="547"/>
      <c r="AG602" s="547"/>
      <c r="AH602" s="547"/>
      <c r="AI602" s="547"/>
      <c r="AJ602" s="547"/>
      <c r="AK602" s="547"/>
      <c r="AL602" s="547"/>
      <c r="AM602" s="547"/>
      <c r="AN602" s="547"/>
      <c r="AO602" s="547"/>
      <c r="AP602" s="547"/>
      <c r="AQ602" s="547"/>
      <c r="AR602" s="547"/>
      <c r="AS602" s="547"/>
      <c r="AT602" s="547"/>
      <c r="AU602" s="547"/>
      <c r="AV602" s="547"/>
      <c r="AW602" s="547"/>
      <c r="AX602" s="547"/>
      <c r="AY602" s="547"/>
      <c r="AZ602" s="547"/>
      <c r="BA602" s="547"/>
      <c r="BB602" s="547"/>
      <c r="BC602" s="547"/>
      <c r="BD602" s="547"/>
      <c r="BE602" s="547"/>
      <c r="BF602" s="547"/>
      <c r="BG602" s="547"/>
      <c r="BH602" s="547"/>
      <c r="BI602" s="547"/>
      <c r="BJ602" s="547"/>
      <c r="BK602" s="547"/>
      <c r="BL602" s="547"/>
      <c r="BM602" s="547"/>
      <c r="BN602" s="547"/>
      <c r="BO602" s="547"/>
      <c r="BP602" s="547"/>
      <c r="BQ602" s="547"/>
      <c r="BR602" s="547"/>
      <c r="BS602" s="547"/>
      <c r="BT602" s="547"/>
      <c r="BU602" s="547"/>
      <c r="BV602" s="547"/>
      <c r="BW602" s="547"/>
      <c r="BX602" s="547"/>
      <c r="BY602" s="547"/>
      <c r="BZ602" s="547"/>
      <c r="CA602" s="547"/>
      <c r="CB602" s="547"/>
      <c r="CC602" s="547"/>
    </row>
    <row r="603" spans="1:81">
      <c r="A603" s="547"/>
      <c r="B603" s="547"/>
      <c r="C603" s="547"/>
      <c r="D603" s="547"/>
      <c r="E603" s="547"/>
      <c r="F603" s="547"/>
      <c r="G603" s="547"/>
      <c r="H603" s="547"/>
      <c r="I603" s="547"/>
      <c r="J603" s="547"/>
      <c r="K603" s="547"/>
      <c r="L603" s="547"/>
      <c r="M603" s="547"/>
      <c r="N603" s="547"/>
      <c r="O603" s="547"/>
      <c r="P603" s="547"/>
      <c r="Q603" s="547"/>
      <c r="R603" s="547"/>
      <c r="S603" s="547"/>
      <c r="T603" s="547"/>
      <c r="U603" s="547"/>
      <c r="V603" s="547"/>
      <c r="W603" s="547"/>
      <c r="X603" s="547"/>
      <c r="Y603" s="547"/>
      <c r="Z603" s="547"/>
      <c r="AA603" s="547"/>
      <c r="AB603" s="547"/>
      <c r="AC603" s="547"/>
      <c r="AD603" s="547"/>
      <c r="AE603" s="547"/>
      <c r="AF603" s="547"/>
      <c r="AG603" s="547"/>
      <c r="AH603" s="547"/>
      <c r="AI603" s="547"/>
      <c r="AJ603" s="547"/>
      <c r="AK603" s="547"/>
      <c r="AL603" s="547"/>
      <c r="AM603" s="547"/>
      <c r="AN603" s="547"/>
      <c r="AO603" s="547"/>
      <c r="AP603" s="547"/>
      <c r="AQ603" s="547"/>
      <c r="AR603" s="547"/>
      <c r="AS603" s="547"/>
      <c r="AT603" s="547"/>
      <c r="AU603" s="547"/>
      <c r="AV603" s="547"/>
      <c r="AW603" s="547"/>
      <c r="AX603" s="547"/>
      <c r="AY603" s="547"/>
      <c r="AZ603" s="547"/>
      <c r="BA603" s="547"/>
      <c r="BB603" s="547"/>
      <c r="BC603" s="547"/>
      <c r="BD603" s="547"/>
      <c r="BE603" s="547"/>
      <c r="BF603" s="547"/>
      <c r="BG603" s="547"/>
      <c r="BH603" s="547"/>
      <c r="BI603" s="547"/>
      <c r="BJ603" s="547"/>
      <c r="BK603" s="547"/>
      <c r="BL603" s="547"/>
      <c r="BM603" s="547"/>
      <c r="BN603" s="547"/>
      <c r="BO603" s="547"/>
      <c r="BP603" s="547"/>
      <c r="BQ603" s="547"/>
      <c r="BR603" s="547"/>
      <c r="BS603" s="547"/>
      <c r="BT603" s="547"/>
      <c r="BU603" s="547"/>
      <c r="BV603" s="547"/>
      <c r="BW603" s="547"/>
      <c r="BX603" s="547"/>
      <c r="BY603" s="547"/>
      <c r="BZ603" s="547"/>
      <c r="CA603" s="547"/>
      <c r="CB603" s="547"/>
      <c r="CC603" s="547"/>
    </row>
    <row r="604" spans="1:81">
      <c r="A604" s="547"/>
      <c r="B604" s="547"/>
      <c r="C604" s="547"/>
      <c r="D604" s="547"/>
      <c r="E604" s="547"/>
      <c r="F604" s="547"/>
      <c r="G604" s="547"/>
      <c r="H604" s="547"/>
      <c r="I604" s="547"/>
      <c r="J604" s="547"/>
      <c r="K604" s="547"/>
      <c r="L604" s="547"/>
      <c r="M604" s="547"/>
      <c r="N604" s="547"/>
      <c r="O604" s="547"/>
      <c r="P604" s="547"/>
      <c r="Q604" s="547"/>
      <c r="R604" s="547"/>
      <c r="S604" s="547"/>
      <c r="T604" s="547"/>
      <c r="U604" s="547"/>
      <c r="V604" s="547"/>
      <c r="W604" s="547"/>
      <c r="X604" s="547"/>
      <c r="Y604" s="547"/>
      <c r="Z604" s="547"/>
      <c r="AA604" s="547"/>
      <c r="AB604" s="547"/>
      <c r="AC604" s="547"/>
      <c r="AD604" s="547"/>
      <c r="AE604" s="547"/>
      <c r="AF604" s="547"/>
      <c r="AG604" s="547"/>
      <c r="AH604" s="547"/>
      <c r="AI604" s="547"/>
      <c r="AJ604" s="547"/>
      <c r="AK604" s="547"/>
      <c r="AL604" s="547"/>
      <c r="AM604" s="547"/>
      <c r="AN604" s="547"/>
      <c r="AO604" s="547"/>
      <c r="AP604" s="547"/>
      <c r="AQ604" s="547"/>
      <c r="AR604" s="547"/>
      <c r="AS604" s="547"/>
      <c r="AT604" s="547"/>
      <c r="AU604" s="547"/>
      <c r="AV604" s="547"/>
      <c r="AW604" s="547"/>
      <c r="AX604" s="547"/>
      <c r="AY604" s="547"/>
      <c r="AZ604" s="547"/>
      <c r="BA604" s="547"/>
      <c r="BB604" s="547"/>
      <c r="BC604" s="547"/>
      <c r="BD604" s="547"/>
      <c r="BE604" s="547"/>
      <c r="BF604" s="547"/>
      <c r="BG604" s="547"/>
      <c r="BH604" s="547"/>
      <c r="BI604" s="547"/>
      <c r="BJ604" s="547"/>
      <c r="BK604" s="547"/>
      <c r="BL604" s="547"/>
      <c r="BM604" s="547"/>
      <c r="BN604" s="547"/>
      <c r="BO604" s="547"/>
      <c r="BP604" s="547"/>
      <c r="BQ604" s="547"/>
      <c r="BR604" s="547"/>
      <c r="BS604" s="547"/>
      <c r="BT604" s="547"/>
      <c r="BU604" s="547"/>
      <c r="BV604" s="547"/>
      <c r="BW604" s="547"/>
      <c r="BX604" s="547"/>
      <c r="BY604" s="547"/>
      <c r="BZ604" s="547"/>
      <c r="CA604" s="547"/>
      <c r="CB604" s="547"/>
      <c r="CC604" s="547"/>
    </row>
    <row r="605" spans="1:81">
      <c r="A605" s="547"/>
      <c r="B605" s="547"/>
      <c r="C605" s="547"/>
      <c r="D605" s="547"/>
      <c r="E605" s="547"/>
      <c r="F605" s="547"/>
      <c r="G605" s="547"/>
      <c r="H605" s="547"/>
      <c r="I605" s="547"/>
      <c r="J605" s="547"/>
      <c r="K605" s="547"/>
      <c r="L605" s="547"/>
      <c r="M605" s="547"/>
      <c r="N605" s="547"/>
      <c r="O605" s="547"/>
      <c r="P605" s="547"/>
      <c r="Q605" s="547"/>
      <c r="R605" s="547"/>
      <c r="S605" s="547"/>
      <c r="T605" s="547"/>
      <c r="U605" s="547"/>
      <c r="V605" s="547"/>
      <c r="W605" s="547"/>
      <c r="X605" s="547"/>
      <c r="Y605" s="547"/>
      <c r="Z605" s="547"/>
      <c r="AA605" s="547"/>
      <c r="AB605" s="547"/>
      <c r="AC605" s="547"/>
      <c r="AD605" s="547"/>
      <c r="AE605" s="547"/>
      <c r="AF605" s="547"/>
      <c r="AG605" s="547"/>
      <c r="AH605" s="547"/>
      <c r="AI605" s="547"/>
      <c r="AJ605" s="547"/>
      <c r="AK605" s="547"/>
      <c r="AL605" s="547"/>
      <c r="AM605" s="547"/>
      <c r="AN605" s="547"/>
      <c r="AO605" s="547"/>
      <c r="AP605" s="547"/>
      <c r="AQ605" s="547"/>
      <c r="AR605" s="547"/>
      <c r="AS605" s="547"/>
      <c r="AT605" s="547"/>
      <c r="AU605" s="547"/>
      <c r="AV605" s="547"/>
      <c r="AW605" s="547"/>
      <c r="AX605" s="547"/>
      <c r="AY605" s="547"/>
      <c r="AZ605" s="547"/>
      <c r="BA605" s="547"/>
      <c r="BB605" s="547"/>
      <c r="BC605" s="547"/>
      <c r="BD605" s="547"/>
      <c r="BE605" s="547"/>
      <c r="BF605" s="547"/>
      <c r="BG605" s="547"/>
      <c r="BH605" s="547"/>
      <c r="BI605" s="547"/>
      <c r="BJ605" s="547"/>
      <c r="BK605" s="547"/>
      <c r="BL605" s="547"/>
      <c r="BM605" s="547"/>
      <c r="BN605" s="547"/>
      <c r="BO605" s="547"/>
      <c r="BP605" s="547"/>
      <c r="BQ605" s="547"/>
      <c r="BR605" s="547"/>
      <c r="BS605" s="547"/>
      <c r="BT605" s="547"/>
      <c r="BU605" s="547"/>
      <c r="BV605" s="547"/>
      <c r="BW605" s="547"/>
      <c r="BX605" s="547"/>
      <c r="BY605" s="547"/>
      <c r="BZ605" s="547"/>
      <c r="CA605" s="547"/>
      <c r="CB605" s="547"/>
      <c r="CC605" s="547"/>
    </row>
    <row r="606" spans="1:81">
      <c r="A606" s="547"/>
      <c r="B606" s="547"/>
      <c r="C606" s="547"/>
      <c r="D606" s="547"/>
      <c r="E606" s="547"/>
      <c r="F606" s="547"/>
      <c r="G606" s="547"/>
      <c r="H606" s="547"/>
      <c r="I606" s="547"/>
      <c r="J606" s="547"/>
      <c r="K606" s="547"/>
      <c r="L606" s="547"/>
      <c r="M606" s="547"/>
      <c r="N606" s="547"/>
      <c r="O606" s="547"/>
      <c r="P606" s="547"/>
      <c r="Q606" s="547"/>
      <c r="R606" s="547"/>
      <c r="S606" s="547"/>
      <c r="T606" s="547"/>
      <c r="U606" s="547"/>
      <c r="V606" s="547"/>
      <c r="W606" s="547"/>
      <c r="X606" s="547"/>
      <c r="Y606" s="547"/>
      <c r="Z606" s="547"/>
      <c r="AA606" s="547"/>
      <c r="AB606" s="547"/>
      <c r="AC606" s="547"/>
      <c r="AD606" s="547"/>
      <c r="AE606" s="547"/>
      <c r="AF606" s="547"/>
      <c r="AG606" s="547"/>
      <c r="AH606" s="547"/>
      <c r="AI606" s="547"/>
      <c r="AJ606" s="547"/>
      <c r="AK606" s="547"/>
      <c r="AL606" s="547"/>
      <c r="AM606" s="547"/>
      <c r="AN606" s="547"/>
      <c r="AO606" s="547"/>
      <c r="AP606" s="547"/>
      <c r="AQ606" s="547"/>
      <c r="AR606" s="547"/>
      <c r="AS606" s="547"/>
      <c r="AT606" s="547"/>
      <c r="AU606" s="547"/>
      <c r="AV606" s="547"/>
      <c r="AW606" s="547"/>
      <c r="AX606" s="547"/>
      <c r="AY606" s="547"/>
      <c r="AZ606" s="547"/>
      <c r="BA606" s="547"/>
      <c r="BB606" s="547"/>
      <c r="BC606" s="547"/>
      <c r="BD606" s="547"/>
      <c r="BE606" s="547"/>
      <c r="BF606" s="547"/>
      <c r="BG606" s="547"/>
      <c r="BH606" s="547"/>
      <c r="BI606" s="547"/>
      <c r="BJ606" s="547"/>
      <c r="BK606" s="547"/>
      <c r="BL606" s="547"/>
      <c r="BM606" s="547"/>
      <c r="BN606" s="547"/>
      <c r="BO606" s="547"/>
      <c r="BP606" s="547"/>
      <c r="BQ606" s="547"/>
      <c r="BR606" s="547"/>
      <c r="BS606" s="547"/>
      <c r="BT606" s="547"/>
      <c r="BU606" s="547"/>
      <c r="BV606" s="547"/>
      <c r="BW606" s="547"/>
      <c r="BX606" s="547"/>
      <c r="BY606" s="547"/>
      <c r="BZ606" s="547"/>
      <c r="CA606" s="547"/>
      <c r="CB606" s="547"/>
      <c r="CC606" s="547"/>
    </row>
    <row r="607" spans="1:81">
      <c r="A607" s="547"/>
      <c r="B607" s="547"/>
      <c r="C607" s="547"/>
      <c r="D607" s="547"/>
      <c r="E607" s="547"/>
      <c r="F607" s="547"/>
      <c r="G607" s="547"/>
      <c r="H607" s="547"/>
      <c r="I607" s="547"/>
      <c r="J607" s="547"/>
      <c r="K607" s="547"/>
      <c r="L607" s="547"/>
      <c r="M607" s="547"/>
      <c r="N607" s="547"/>
      <c r="O607" s="547"/>
      <c r="P607" s="547"/>
      <c r="Q607" s="547"/>
      <c r="R607" s="547"/>
      <c r="S607" s="547"/>
      <c r="T607" s="547"/>
      <c r="U607" s="547"/>
      <c r="V607" s="547"/>
      <c r="W607" s="547"/>
      <c r="X607" s="547"/>
      <c r="Y607" s="547"/>
      <c r="Z607" s="547"/>
      <c r="AA607" s="547"/>
      <c r="AB607" s="547"/>
      <c r="AC607" s="547"/>
      <c r="AD607" s="547"/>
      <c r="AE607" s="547"/>
      <c r="AF607" s="547"/>
      <c r="AG607" s="547"/>
      <c r="AH607" s="547"/>
      <c r="AI607" s="547"/>
      <c r="AJ607" s="547"/>
      <c r="AK607" s="547"/>
      <c r="AL607" s="547"/>
      <c r="AM607" s="547"/>
      <c r="AN607" s="547"/>
      <c r="AO607" s="547"/>
      <c r="AP607" s="547"/>
      <c r="AQ607" s="547"/>
      <c r="AR607" s="547"/>
      <c r="AS607" s="547"/>
      <c r="AT607" s="547"/>
      <c r="AU607" s="547"/>
      <c r="AV607" s="547"/>
      <c r="AW607" s="547"/>
      <c r="AX607" s="547"/>
      <c r="AY607" s="547"/>
      <c r="AZ607" s="547"/>
      <c r="BA607" s="547"/>
      <c r="BB607" s="547"/>
      <c r="BC607" s="547"/>
      <c r="BD607" s="547"/>
      <c r="BE607" s="547"/>
      <c r="BF607" s="547"/>
      <c r="BG607" s="547"/>
      <c r="BH607" s="547"/>
      <c r="BI607" s="547"/>
      <c r="BJ607" s="547"/>
      <c r="BK607" s="547"/>
      <c r="BL607" s="547"/>
      <c r="BM607" s="547"/>
      <c r="BN607" s="547"/>
      <c r="BO607" s="547"/>
      <c r="BP607" s="547"/>
      <c r="BQ607" s="547"/>
      <c r="BR607" s="547"/>
      <c r="BS607" s="547"/>
      <c r="BT607" s="547"/>
      <c r="BU607" s="547"/>
      <c r="BV607" s="547"/>
      <c r="BW607" s="547"/>
      <c r="BX607" s="547"/>
      <c r="BY607" s="547"/>
      <c r="BZ607" s="547"/>
      <c r="CA607" s="547"/>
      <c r="CB607" s="547"/>
      <c r="CC607" s="547"/>
    </row>
    <row r="608" spans="1:81">
      <c r="A608" s="547"/>
      <c r="B608" s="547"/>
      <c r="C608" s="547"/>
      <c r="D608" s="547"/>
      <c r="E608" s="547"/>
      <c r="F608" s="547"/>
      <c r="G608" s="547"/>
      <c r="H608" s="547"/>
      <c r="I608" s="547"/>
      <c r="J608" s="547"/>
      <c r="K608" s="547"/>
      <c r="L608" s="547"/>
      <c r="M608" s="547"/>
      <c r="N608" s="547"/>
      <c r="O608" s="547"/>
      <c r="P608" s="547"/>
      <c r="Q608" s="547"/>
      <c r="R608" s="547"/>
      <c r="S608" s="547"/>
      <c r="T608" s="547"/>
      <c r="U608" s="547"/>
      <c r="V608" s="547"/>
      <c r="W608" s="547"/>
      <c r="X608" s="547"/>
      <c r="Y608" s="547"/>
      <c r="Z608" s="547"/>
      <c r="AA608" s="547"/>
      <c r="AB608" s="547"/>
      <c r="AC608" s="547"/>
      <c r="AD608" s="547"/>
      <c r="AE608" s="547"/>
      <c r="AF608" s="547"/>
      <c r="AG608" s="547"/>
      <c r="AH608" s="547"/>
      <c r="AI608" s="547"/>
      <c r="AJ608" s="547"/>
      <c r="AK608" s="547"/>
      <c r="AL608" s="547"/>
      <c r="AM608" s="547"/>
      <c r="AN608" s="547"/>
      <c r="AO608" s="547"/>
      <c r="AP608" s="547"/>
      <c r="AQ608" s="547"/>
      <c r="AR608" s="547"/>
      <c r="AS608" s="547"/>
      <c r="AT608" s="547"/>
      <c r="AU608" s="547"/>
      <c r="AV608" s="547"/>
      <c r="AW608" s="547"/>
      <c r="AX608" s="547"/>
      <c r="AY608" s="547"/>
      <c r="AZ608" s="547"/>
      <c r="BA608" s="547"/>
      <c r="BB608" s="547"/>
      <c r="BC608" s="547"/>
      <c r="BD608" s="547"/>
      <c r="BE608" s="547"/>
      <c r="BF608" s="547"/>
      <c r="BG608" s="547"/>
      <c r="BH608" s="547"/>
      <c r="BI608" s="547"/>
      <c r="BJ608" s="547"/>
      <c r="BK608" s="547"/>
      <c r="BL608" s="547"/>
      <c r="BM608" s="547"/>
      <c r="BN608" s="547"/>
      <c r="BO608" s="547"/>
      <c r="BP608" s="547"/>
      <c r="BQ608" s="547"/>
      <c r="BR608" s="547"/>
      <c r="BS608" s="547"/>
      <c r="BT608" s="547"/>
      <c r="BU608" s="547"/>
      <c r="BV608" s="547"/>
      <c r="BW608" s="547"/>
      <c r="BX608" s="547"/>
      <c r="BY608" s="547"/>
      <c r="BZ608" s="547"/>
      <c r="CA608" s="547"/>
      <c r="CB608" s="547"/>
      <c r="CC608" s="547"/>
    </row>
    <row r="609" spans="1:81">
      <c r="A609" s="547"/>
      <c r="B609" s="547"/>
      <c r="C609" s="547"/>
      <c r="D609" s="547"/>
      <c r="E609" s="547"/>
      <c r="F609" s="547"/>
      <c r="G609" s="547"/>
      <c r="H609" s="547"/>
      <c r="I609" s="547"/>
      <c r="J609" s="547"/>
      <c r="K609" s="547"/>
      <c r="L609" s="547"/>
      <c r="M609" s="547"/>
      <c r="N609" s="547"/>
      <c r="O609" s="547"/>
      <c r="P609" s="547"/>
      <c r="Q609" s="547"/>
      <c r="R609" s="547"/>
      <c r="S609" s="547"/>
      <c r="T609" s="547"/>
      <c r="U609" s="547"/>
      <c r="V609" s="547"/>
      <c r="W609" s="547"/>
      <c r="X609" s="547"/>
      <c r="Y609" s="547"/>
      <c r="Z609" s="547"/>
      <c r="AA609" s="547"/>
      <c r="AB609" s="547"/>
      <c r="AC609" s="547"/>
      <c r="AD609" s="547"/>
      <c r="AE609" s="547"/>
      <c r="AF609" s="547"/>
      <c r="AG609" s="547"/>
      <c r="AH609" s="547"/>
      <c r="AI609" s="547"/>
      <c r="AJ609" s="547"/>
      <c r="AK609" s="547"/>
      <c r="AL609" s="547"/>
      <c r="AM609" s="547"/>
      <c r="AN609" s="547"/>
      <c r="AO609" s="547"/>
      <c r="AP609" s="547"/>
      <c r="AQ609" s="547"/>
      <c r="AR609" s="547"/>
      <c r="AS609" s="547"/>
      <c r="AT609" s="547"/>
      <c r="AU609" s="547"/>
      <c r="AV609" s="547"/>
      <c r="AW609" s="547"/>
      <c r="AX609" s="547"/>
      <c r="AY609" s="547"/>
      <c r="AZ609" s="547"/>
      <c r="BA609" s="547"/>
      <c r="BB609" s="547"/>
      <c r="BC609" s="547"/>
      <c r="BD609" s="547"/>
      <c r="BE609" s="547"/>
      <c r="BF609" s="547"/>
      <c r="BG609" s="547"/>
      <c r="BH609" s="547"/>
      <c r="BI609" s="547"/>
      <c r="BJ609" s="547"/>
      <c r="BK609" s="547"/>
      <c r="BL609" s="547"/>
      <c r="BM609" s="547"/>
      <c r="BN609" s="547"/>
      <c r="BO609" s="547"/>
      <c r="BP609" s="547"/>
      <c r="BQ609" s="547"/>
      <c r="BR609" s="547"/>
      <c r="BS609" s="547"/>
      <c r="BT609" s="547"/>
      <c r="BU609" s="547"/>
      <c r="BV609" s="547"/>
      <c r="BW609" s="547"/>
      <c r="BX609" s="547"/>
      <c r="BY609" s="547"/>
      <c r="BZ609" s="547"/>
      <c r="CA609" s="547"/>
      <c r="CB609" s="547"/>
      <c r="CC609" s="547"/>
    </row>
    <row r="610" spans="1:81">
      <c r="A610" s="547"/>
      <c r="B610" s="547"/>
      <c r="C610" s="547"/>
      <c r="D610" s="547"/>
      <c r="E610" s="547"/>
      <c r="F610" s="547"/>
      <c r="G610" s="547"/>
      <c r="H610" s="547"/>
      <c r="I610" s="547"/>
      <c r="J610" s="547"/>
      <c r="K610" s="547"/>
      <c r="L610" s="547"/>
      <c r="M610" s="547"/>
      <c r="N610" s="547"/>
      <c r="O610" s="547"/>
      <c r="P610" s="547"/>
      <c r="Q610" s="547"/>
      <c r="R610" s="547"/>
      <c r="S610" s="547"/>
      <c r="T610" s="547"/>
      <c r="U610" s="547"/>
      <c r="V610" s="547"/>
      <c r="W610" s="547"/>
      <c r="X610" s="547"/>
      <c r="Y610" s="547"/>
      <c r="Z610" s="547"/>
      <c r="AA610" s="547"/>
      <c r="AB610" s="547"/>
      <c r="AC610" s="547"/>
      <c r="AD610" s="547"/>
      <c r="AE610" s="547"/>
      <c r="AF610" s="547"/>
      <c r="AG610" s="547"/>
      <c r="AH610" s="547"/>
      <c r="AI610" s="547"/>
      <c r="AJ610" s="547"/>
      <c r="AK610" s="547"/>
      <c r="AL610" s="547"/>
      <c r="AM610" s="547"/>
      <c r="AN610" s="547"/>
      <c r="AO610" s="547"/>
      <c r="AP610" s="547"/>
      <c r="AQ610" s="547"/>
      <c r="AR610" s="547"/>
      <c r="AS610" s="547"/>
      <c r="AT610" s="547"/>
      <c r="AU610" s="547"/>
      <c r="AV610" s="547"/>
      <c r="AW610" s="547"/>
      <c r="AX610" s="547"/>
      <c r="AY610" s="547"/>
      <c r="AZ610" s="547"/>
      <c r="BA610" s="547"/>
      <c r="BB610" s="547"/>
      <c r="BC610" s="547"/>
      <c r="BD610" s="547"/>
      <c r="BE610" s="547"/>
      <c r="BF610" s="547"/>
      <c r="BG610" s="547"/>
      <c r="BH610" s="547"/>
      <c r="BI610" s="547"/>
      <c r="BJ610" s="547"/>
      <c r="BK610" s="547"/>
      <c r="BL610" s="547"/>
      <c r="BM610" s="547"/>
      <c r="BN610" s="547"/>
      <c r="BO610" s="547"/>
      <c r="BP610" s="547"/>
      <c r="BQ610" s="547"/>
      <c r="BR610" s="547"/>
      <c r="BS610" s="547"/>
      <c r="BT610" s="547"/>
      <c r="BU610" s="547"/>
      <c r="BV610" s="547"/>
      <c r="BW610" s="547"/>
      <c r="BX610" s="547"/>
      <c r="BY610" s="547"/>
      <c r="BZ610" s="547"/>
      <c r="CA610" s="547"/>
      <c r="CB610" s="547"/>
      <c r="CC610" s="547"/>
    </row>
    <row r="611" spans="1:81">
      <c r="A611" s="547"/>
      <c r="B611" s="547"/>
      <c r="C611" s="547"/>
      <c r="D611" s="547"/>
      <c r="E611" s="547"/>
      <c r="F611" s="547"/>
      <c r="G611" s="547"/>
      <c r="H611" s="547"/>
      <c r="I611" s="547"/>
      <c r="J611" s="547"/>
      <c r="K611" s="547"/>
      <c r="L611" s="547"/>
      <c r="M611" s="547"/>
      <c r="N611" s="547"/>
      <c r="O611" s="547"/>
      <c r="P611" s="547"/>
      <c r="Q611" s="547"/>
      <c r="R611" s="547"/>
      <c r="S611" s="547"/>
      <c r="T611" s="547"/>
      <c r="U611" s="547"/>
      <c r="V611" s="547"/>
      <c r="W611" s="547"/>
      <c r="X611" s="547"/>
      <c r="Y611" s="547"/>
      <c r="Z611" s="547"/>
      <c r="AA611" s="547"/>
      <c r="AB611" s="547"/>
      <c r="AC611" s="547"/>
      <c r="AD611" s="547"/>
      <c r="AE611" s="547"/>
      <c r="AF611" s="547"/>
      <c r="AG611" s="547"/>
      <c r="AH611" s="547"/>
      <c r="AI611" s="547"/>
      <c r="AJ611" s="547"/>
      <c r="AK611" s="547"/>
      <c r="AL611" s="547"/>
      <c r="AM611" s="547"/>
      <c r="AN611" s="547"/>
      <c r="AO611" s="547"/>
      <c r="AP611" s="547"/>
      <c r="AQ611" s="547"/>
      <c r="AR611" s="547"/>
      <c r="AS611" s="547"/>
      <c r="AT611" s="547"/>
      <c r="AU611" s="547"/>
      <c r="AV611" s="547"/>
      <c r="AW611" s="547"/>
      <c r="AX611" s="547"/>
      <c r="AY611" s="547"/>
      <c r="AZ611" s="547"/>
      <c r="BA611" s="547"/>
      <c r="BB611" s="547"/>
      <c r="BC611" s="547"/>
      <c r="BD611" s="547"/>
      <c r="BE611" s="547"/>
      <c r="BF611" s="547"/>
      <c r="BG611" s="547"/>
      <c r="BH611" s="547"/>
      <c r="BI611" s="547"/>
      <c r="BJ611" s="547"/>
      <c r="BK611" s="547"/>
      <c r="BL611" s="547"/>
      <c r="BM611" s="547"/>
      <c r="BN611" s="547"/>
      <c r="BO611" s="547"/>
      <c r="BP611" s="547"/>
      <c r="BQ611" s="547"/>
      <c r="BR611" s="547"/>
      <c r="BS611" s="547"/>
      <c r="BT611" s="547"/>
      <c r="BU611" s="547"/>
      <c r="BV611" s="547"/>
      <c r="BW611" s="547"/>
      <c r="BX611" s="547"/>
      <c r="BY611" s="547"/>
      <c r="BZ611" s="547"/>
      <c r="CA611" s="547"/>
      <c r="CB611" s="547"/>
      <c r="CC611" s="547"/>
    </row>
    <row r="612" spans="1:81">
      <c r="A612" s="547"/>
      <c r="B612" s="547"/>
      <c r="C612" s="547"/>
      <c r="D612" s="547"/>
      <c r="E612" s="547"/>
      <c r="F612" s="547"/>
      <c r="G612" s="547"/>
      <c r="H612" s="547"/>
      <c r="I612" s="547"/>
      <c r="J612" s="547"/>
      <c r="K612" s="547"/>
      <c r="L612" s="547"/>
      <c r="M612" s="547"/>
      <c r="N612" s="547"/>
      <c r="O612" s="547"/>
      <c r="P612" s="547"/>
      <c r="Q612" s="547"/>
      <c r="R612" s="547"/>
      <c r="S612" s="547"/>
      <c r="T612" s="547"/>
      <c r="U612" s="547"/>
      <c r="V612" s="547"/>
      <c r="W612" s="547"/>
      <c r="X612" s="547"/>
      <c r="Y612" s="547"/>
      <c r="Z612" s="547"/>
      <c r="AA612" s="547"/>
      <c r="AB612" s="547"/>
      <c r="AC612" s="547"/>
      <c r="AD612" s="547"/>
      <c r="AE612" s="547"/>
      <c r="AF612" s="547"/>
      <c r="AG612" s="547"/>
      <c r="AH612" s="547"/>
      <c r="AI612" s="547"/>
      <c r="AJ612" s="547"/>
      <c r="AK612" s="547"/>
      <c r="AL612" s="547"/>
      <c r="AM612" s="547"/>
      <c r="AN612" s="547"/>
      <c r="AO612" s="547"/>
      <c r="AP612" s="547"/>
      <c r="AQ612" s="547"/>
      <c r="AR612" s="547"/>
      <c r="AS612" s="547"/>
      <c r="AT612" s="547"/>
      <c r="AU612" s="547"/>
      <c r="AV612" s="547"/>
      <c r="AW612" s="547"/>
      <c r="AX612" s="547"/>
      <c r="AY612" s="547"/>
      <c r="AZ612" s="547"/>
      <c r="BA612" s="547"/>
      <c r="BB612" s="547"/>
      <c r="BC612" s="547"/>
      <c r="BD612" s="547"/>
      <c r="BE612" s="547"/>
      <c r="BF612" s="547"/>
      <c r="BG612" s="547"/>
      <c r="BH612" s="547"/>
      <c r="BI612" s="547"/>
      <c r="BJ612" s="547"/>
      <c r="BK612" s="547"/>
      <c r="BL612" s="547"/>
      <c r="BM612" s="547"/>
      <c r="BN612" s="547"/>
      <c r="BO612" s="547"/>
      <c r="BP612" s="547"/>
      <c r="BQ612" s="547"/>
      <c r="BR612" s="547"/>
      <c r="BS612" s="547"/>
      <c r="BT612" s="547"/>
      <c r="BU612" s="547"/>
      <c r="BV612" s="547"/>
      <c r="BW612" s="547"/>
      <c r="BX612" s="547"/>
      <c r="BY612" s="547"/>
      <c r="BZ612" s="547"/>
      <c r="CA612" s="547"/>
      <c r="CB612" s="547"/>
      <c r="CC612" s="547"/>
    </row>
    <row r="613" spans="1:81">
      <c r="A613" s="547"/>
      <c r="B613" s="547"/>
      <c r="C613" s="547"/>
      <c r="D613" s="547"/>
      <c r="E613" s="547"/>
      <c r="F613" s="547"/>
      <c r="G613" s="547"/>
      <c r="H613" s="547"/>
      <c r="I613" s="547"/>
      <c r="J613" s="547"/>
      <c r="K613" s="547"/>
      <c r="L613" s="547"/>
      <c r="M613" s="547"/>
      <c r="N613" s="547"/>
      <c r="O613" s="547"/>
      <c r="P613" s="547"/>
      <c r="Q613" s="547"/>
      <c r="R613" s="547"/>
      <c r="S613" s="547"/>
      <c r="T613" s="547"/>
      <c r="U613" s="547"/>
      <c r="V613" s="547"/>
      <c r="W613" s="547"/>
      <c r="X613" s="547"/>
      <c r="Y613" s="547"/>
      <c r="Z613" s="547"/>
      <c r="AA613" s="547"/>
      <c r="AB613" s="547"/>
      <c r="AC613" s="547"/>
      <c r="AD613" s="547"/>
      <c r="AE613" s="547"/>
      <c r="AF613" s="547"/>
      <c r="AG613" s="547"/>
      <c r="AH613" s="547"/>
      <c r="AI613" s="547"/>
      <c r="AJ613" s="547"/>
      <c r="AK613" s="547"/>
      <c r="AL613" s="547"/>
      <c r="AM613" s="547"/>
      <c r="AN613" s="547"/>
      <c r="AO613" s="547"/>
      <c r="AP613" s="547"/>
      <c r="AQ613" s="547"/>
      <c r="AR613" s="547"/>
      <c r="AS613" s="547"/>
      <c r="AT613" s="547"/>
      <c r="AU613" s="547"/>
      <c r="AV613" s="547"/>
      <c r="AW613" s="547"/>
      <c r="AX613" s="547"/>
      <c r="AY613" s="547"/>
      <c r="AZ613" s="547"/>
      <c r="BA613" s="547"/>
      <c r="BB613" s="547"/>
      <c r="BC613" s="547"/>
      <c r="BD613" s="547"/>
      <c r="BE613" s="547"/>
      <c r="BF613" s="547"/>
      <c r="BG613" s="547"/>
      <c r="BH613" s="547"/>
      <c r="BI613" s="547"/>
      <c r="BJ613" s="547"/>
      <c r="BK613" s="547"/>
      <c r="BL613" s="547"/>
      <c r="BM613" s="547"/>
      <c r="BN613" s="547"/>
      <c r="BO613" s="547"/>
      <c r="BP613" s="547"/>
      <c r="BQ613" s="547"/>
      <c r="BR613" s="547"/>
      <c r="BS613" s="547"/>
      <c r="BT613" s="547"/>
      <c r="BU613" s="547"/>
      <c r="BV613" s="547"/>
      <c r="BW613" s="547"/>
      <c r="BX613" s="547"/>
      <c r="BY613" s="547"/>
      <c r="BZ613" s="547"/>
      <c r="CA613" s="547"/>
      <c r="CB613" s="547"/>
      <c r="CC613" s="547"/>
    </row>
    <row r="614" spans="1:81">
      <c r="A614" s="547"/>
      <c r="B614" s="547"/>
      <c r="C614" s="547"/>
      <c r="D614" s="547"/>
      <c r="E614" s="547"/>
      <c r="F614" s="547"/>
      <c r="G614" s="547"/>
      <c r="H614" s="547"/>
      <c r="I614" s="547"/>
      <c r="J614" s="547"/>
      <c r="K614" s="547"/>
      <c r="L614" s="547"/>
      <c r="M614" s="547"/>
      <c r="N614" s="547"/>
      <c r="O614" s="547"/>
      <c r="P614" s="547"/>
      <c r="Q614" s="547"/>
      <c r="R614" s="547"/>
      <c r="S614" s="547"/>
      <c r="T614" s="547"/>
      <c r="U614" s="547"/>
      <c r="V614" s="547"/>
      <c r="W614" s="547"/>
      <c r="X614" s="547"/>
      <c r="Y614" s="547"/>
      <c r="Z614" s="547"/>
      <c r="AA614" s="547"/>
      <c r="AB614" s="547"/>
      <c r="AC614" s="547"/>
      <c r="AD614" s="547"/>
      <c r="AE614" s="547"/>
      <c r="AF614" s="547"/>
      <c r="AG614" s="547"/>
      <c r="AH614" s="547"/>
      <c r="AI614" s="547"/>
      <c r="AJ614" s="547"/>
      <c r="AK614" s="547"/>
      <c r="AL614" s="547"/>
      <c r="AM614" s="547"/>
      <c r="AN614" s="547"/>
      <c r="AO614" s="547"/>
      <c r="AP614" s="547"/>
      <c r="AQ614" s="547"/>
      <c r="AR614" s="547"/>
      <c r="AS614" s="547"/>
      <c r="AT614" s="547"/>
      <c r="AU614" s="547"/>
      <c r="AV614" s="547"/>
      <c r="AW614" s="547"/>
      <c r="AX614" s="547"/>
      <c r="AY614" s="547"/>
      <c r="AZ614" s="547"/>
      <c r="BA614" s="547"/>
      <c r="BB614" s="547"/>
      <c r="BC614" s="547"/>
      <c r="BD614" s="547"/>
      <c r="BE614" s="547"/>
      <c r="BF614" s="547"/>
      <c r="BG614" s="547"/>
      <c r="BH614" s="547"/>
      <c r="BI614" s="547"/>
      <c r="BJ614" s="547"/>
      <c r="BK614" s="547"/>
      <c r="BL614" s="547"/>
      <c r="BM614" s="547"/>
      <c r="BN614" s="547"/>
      <c r="BO614" s="547"/>
      <c r="BP614" s="547"/>
      <c r="BQ614" s="547"/>
      <c r="BR614" s="547"/>
      <c r="BS614" s="547"/>
      <c r="BT614" s="547"/>
      <c r="BU614" s="547"/>
      <c r="BV614" s="547"/>
      <c r="BW614" s="547"/>
      <c r="BX614" s="547"/>
      <c r="BY614" s="547"/>
      <c r="BZ614" s="547"/>
      <c r="CA614" s="547"/>
      <c r="CB614" s="547"/>
      <c r="CC614" s="547"/>
    </row>
    <row r="615" spans="1:81">
      <c r="A615" s="547"/>
      <c r="B615" s="547"/>
      <c r="C615" s="547"/>
      <c r="D615" s="547"/>
      <c r="E615" s="547"/>
      <c r="F615" s="547"/>
      <c r="G615" s="547"/>
      <c r="H615" s="547"/>
      <c r="I615" s="547"/>
      <c r="J615" s="547"/>
      <c r="K615" s="547"/>
      <c r="L615" s="547"/>
      <c r="M615" s="547"/>
      <c r="N615" s="547"/>
      <c r="O615" s="547"/>
      <c r="P615" s="547"/>
      <c r="Q615" s="547"/>
      <c r="R615" s="547"/>
      <c r="S615" s="547"/>
      <c r="T615" s="547"/>
      <c r="U615" s="547"/>
      <c r="V615" s="547"/>
      <c r="W615" s="547"/>
      <c r="X615" s="547"/>
      <c r="Y615" s="547"/>
      <c r="Z615" s="547"/>
      <c r="AA615" s="547"/>
      <c r="AB615" s="547"/>
      <c r="AC615" s="547"/>
      <c r="AD615" s="547"/>
      <c r="AE615" s="547"/>
      <c r="AF615" s="547"/>
      <c r="AG615" s="547"/>
      <c r="AH615" s="547"/>
      <c r="AI615" s="547"/>
      <c r="AJ615" s="547"/>
      <c r="AK615" s="547"/>
      <c r="AL615" s="547"/>
      <c r="AM615" s="547"/>
      <c r="AN615" s="547"/>
      <c r="AO615" s="547"/>
      <c r="AP615" s="547"/>
      <c r="AQ615" s="547"/>
      <c r="AR615" s="547"/>
      <c r="AS615" s="547"/>
      <c r="AT615" s="547"/>
      <c r="AU615" s="547"/>
      <c r="AV615" s="547"/>
      <c r="AW615" s="547"/>
      <c r="AX615" s="547"/>
      <c r="AY615" s="547"/>
      <c r="AZ615" s="547"/>
      <c r="BA615" s="547"/>
      <c r="BB615" s="547"/>
      <c r="BC615" s="547"/>
      <c r="BD615" s="547"/>
      <c r="BE615" s="547"/>
      <c r="BF615" s="547"/>
      <c r="BG615" s="547"/>
      <c r="BH615" s="547"/>
      <c r="BI615" s="547"/>
      <c r="BJ615" s="547"/>
      <c r="BK615" s="547"/>
      <c r="BL615" s="547"/>
      <c r="BM615" s="547"/>
      <c r="BN615" s="547"/>
      <c r="BO615" s="547"/>
      <c r="BP615" s="547"/>
      <c r="BQ615" s="547"/>
      <c r="BR615" s="547"/>
      <c r="BS615" s="547"/>
      <c r="BT615" s="547"/>
      <c r="BU615" s="547"/>
      <c r="BV615" s="547"/>
      <c r="BW615" s="547"/>
      <c r="BX615" s="547"/>
      <c r="BY615" s="547"/>
      <c r="BZ615" s="547"/>
      <c r="CA615" s="547"/>
      <c r="CB615" s="547"/>
      <c r="CC615" s="547"/>
    </row>
    <row r="616" spans="1:81">
      <c r="A616" s="547"/>
      <c r="B616" s="547"/>
      <c r="C616" s="547"/>
      <c r="D616" s="547"/>
      <c r="E616" s="547"/>
      <c r="F616" s="547"/>
      <c r="G616" s="547"/>
      <c r="H616" s="547"/>
      <c r="I616" s="547"/>
      <c r="J616" s="547"/>
      <c r="K616" s="547"/>
      <c r="L616" s="547"/>
      <c r="M616" s="547"/>
      <c r="N616" s="547"/>
      <c r="O616" s="547"/>
      <c r="P616" s="547"/>
      <c r="Q616" s="547"/>
      <c r="R616" s="547"/>
      <c r="S616" s="547"/>
      <c r="T616" s="547"/>
      <c r="U616" s="547"/>
      <c r="V616" s="547"/>
      <c r="W616" s="547"/>
      <c r="X616" s="547"/>
      <c r="Y616" s="547"/>
      <c r="Z616" s="547"/>
      <c r="AA616" s="547"/>
      <c r="AB616" s="547"/>
      <c r="AC616" s="547"/>
      <c r="AD616" s="547"/>
      <c r="AE616" s="547"/>
      <c r="AF616" s="547"/>
      <c r="AG616" s="547"/>
      <c r="AH616" s="547"/>
      <c r="AI616" s="547"/>
      <c r="AJ616" s="547"/>
      <c r="AK616" s="547"/>
      <c r="AL616" s="547"/>
      <c r="AM616" s="547"/>
      <c r="AN616" s="547"/>
      <c r="AO616" s="547"/>
      <c r="AP616" s="547"/>
      <c r="AQ616" s="547"/>
      <c r="AR616" s="547"/>
      <c r="AS616" s="547"/>
      <c r="AT616" s="547"/>
      <c r="AU616" s="547"/>
      <c r="AV616" s="547"/>
      <c r="AW616" s="547"/>
      <c r="AX616" s="547"/>
      <c r="AY616" s="547"/>
      <c r="AZ616" s="547"/>
      <c r="BA616" s="547"/>
      <c r="BB616" s="547"/>
      <c r="BC616" s="547"/>
      <c r="BD616" s="547"/>
      <c r="BE616" s="547"/>
      <c r="BF616" s="547"/>
      <c r="BG616" s="547"/>
      <c r="BH616" s="547"/>
      <c r="BI616" s="547"/>
      <c r="BJ616" s="547"/>
      <c r="BK616" s="547"/>
      <c r="BL616" s="547"/>
      <c r="BM616" s="547"/>
      <c r="BN616" s="547"/>
      <c r="BO616" s="547"/>
      <c r="BP616" s="547"/>
      <c r="BQ616" s="547"/>
      <c r="BR616" s="547"/>
      <c r="BS616" s="547"/>
      <c r="BT616" s="547"/>
      <c r="BU616" s="547"/>
      <c r="BV616" s="547"/>
      <c r="BW616" s="547"/>
      <c r="BX616" s="547"/>
      <c r="BY616" s="547"/>
      <c r="BZ616" s="547"/>
      <c r="CA616" s="547"/>
      <c r="CB616" s="547"/>
      <c r="CC616" s="547"/>
    </row>
    <row r="617" spans="1:81">
      <c r="A617" s="547"/>
      <c r="B617" s="547"/>
      <c r="C617" s="547"/>
      <c r="D617" s="547"/>
      <c r="E617" s="547"/>
      <c r="F617" s="547"/>
      <c r="G617" s="547"/>
      <c r="H617" s="547"/>
      <c r="I617" s="547"/>
      <c r="J617" s="547"/>
      <c r="K617" s="547"/>
      <c r="L617" s="547"/>
      <c r="M617" s="547"/>
      <c r="N617" s="547"/>
      <c r="O617" s="547"/>
      <c r="P617" s="547"/>
      <c r="Q617" s="547"/>
      <c r="R617" s="547"/>
      <c r="S617" s="547"/>
      <c r="T617" s="547"/>
      <c r="U617" s="547"/>
      <c r="V617" s="547"/>
      <c r="W617" s="547"/>
      <c r="X617" s="547"/>
      <c r="Y617" s="547"/>
      <c r="Z617" s="547"/>
      <c r="AA617" s="547"/>
      <c r="AB617" s="547"/>
      <c r="AC617" s="547"/>
      <c r="AD617" s="547"/>
      <c r="AE617" s="547"/>
      <c r="AF617" s="547"/>
      <c r="AG617" s="547"/>
      <c r="AH617" s="547"/>
      <c r="AI617" s="547"/>
      <c r="AJ617" s="547"/>
      <c r="AK617" s="547"/>
      <c r="AL617" s="547"/>
      <c r="AM617" s="547"/>
      <c r="AN617" s="547"/>
      <c r="AO617" s="547"/>
      <c r="AP617" s="547"/>
      <c r="AQ617" s="547"/>
      <c r="AR617" s="547"/>
      <c r="AS617" s="547"/>
      <c r="AT617" s="547"/>
      <c r="AU617" s="547"/>
      <c r="AV617" s="547"/>
      <c r="AW617" s="547"/>
      <c r="AX617" s="547"/>
      <c r="AY617" s="547"/>
      <c r="AZ617" s="547"/>
      <c r="BA617" s="547"/>
      <c r="BB617" s="547"/>
      <c r="BC617" s="547"/>
      <c r="BD617" s="547"/>
      <c r="BE617" s="547"/>
      <c r="BF617" s="547"/>
      <c r="BG617" s="547"/>
      <c r="BH617" s="547"/>
      <c r="BI617" s="547"/>
      <c r="BJ617" s="547"/>
      <c r="BK617" s="547"/>
      <c r="BL617" s="547"/>
      <c r="BM617" s="547"/>
      <c r="BN617" s="547"/>
      <c r="BO617" s="547"/>
      <c r="BP617" s="547"/>
      <c r="BQ617" s="547"/>
      <c r="BR617" s="547"/>
      <c r="BS617" s="547"/>
      <c r="BT617" s="547"/>
      <c r="BU617" s="547"/>
      <c r="BV617" s="547"/>
      <c r="BW617" s="547"/>
      <c r="BX617" s="547"/>
      <c r="BY617" s="547"/>
      <c r="BZ617" s="547"/>
      <c r="CA617" s="547"/>
      <c r="CB617" s="547"/>
      <c r="CC617" s="547"/>
    </row>
    <row r="618" spans="1:81">
      <c r="A618" s="547"/>
      <c r="B618" s="547"/>
      <c r="C618" s="547"/>
      <c r="D618" s="547"/>
      <c r="E618" s="547"/>
      <c r="F618" s="547"/>
      <c r="G618" s="547"/>
      <c r="H618" s="547"/>
      <c r="I618" s="547"/>
      <c r="J618" s="547"/>
      <c r="K618" s="547"/>
      <c r="L618" s="547"/>
      <c r="M618" s="547"/>
      <c r="N618" s="547"/>
      <c r="O618" s="547"/>
      <c r="P618" s="547"/>
      <c r="Q618" s="547"/>
      <c r="R618" s="547"/>
      <c r="S618" s="547"/>
      <c r="T618" s="547"/>
      <c r="U618" s="547"/>
      <c r="V618" s="547"/>
      <c r="W618" s="547"/>
      <c r="X618" s="547"/>
      <c r="Y618" s="547"/>
      <c r="Z618" s="547"/>
      <c r="AA618" s="547"/>
      <c r="AB618" s="547"/>
      <c r="AC618" s="547"/>
      <c r="AD618" s="547"/>
      <c r="AE618" s="547"/>
      <c r="AF618" s="547"/>
      <c r="AG618" s="547"/>
      <c r="AH618" s="547"/>
      <c r="AI618" s="547"/>
      <c r="AJ618" s="547"/>
      <c r="AK618" s="547"/>
      <c r="AL618" s="547"/>
      <c r="AM618" s="547"/>
      <c r="AN618" s="547"/>
      <c r="AO618" s="547"/>
      <c r="AP618" s="547"/>
      <c r="AQ618" s="547"/>
      <c r="AR618" s="547"/>
      <c r="AS618" s="547"/>
      <c r="AT618" s="547"/>
      <c r="AU618" s="547"/>
      <c r="AV618" s="547"/>
      <c r="AW618" s="547"/>
      <c r="AX618" s="547"/>
      <c r="AY618" s="547"/>
      <c r="AZ618" s="547"/>
      <c r="BA618" s="547"/>
      <c r="BB618" s="547"/>
      <c r="BC618" s="547"/>
      <c r="BD618" s="547"/>
      <c r="BE618" s="547"/>
      <c r="BF618" s="547"/>
      <c r="BG618" s="547"/>
      <c r="BH618" s="547"/>
      <c r="BI618" s="547"/>
      <c r="BJ618" s="547"/>
      <c r="BK618" s="547"/>
      <c r="BL618" s="547"/>
      <c r="BM618" s="547"/>
      <c r="BN618" s="547"/>
      <c r="BO618" s="547"/>
      <c r="BP618" s="547"/>
      <c r="BQ618" s="547"/>
      <c r="BR618" s="547"/>
      <c r="BS618" s="547"/>
      <c r="BT618" s="547"/>
      <c r="BU618" s="547"/>
      <c r="BV618" s="547"/>
      <c r="BW618" s="547"/>
      <c r="BX618" s="547"/>
      <c r="BY618" s="547"/>
      <c r="BZ618" s="547"/>
      <c r="CA618" s="547"/>
      <c r="CB618" s="547"/>
      <c r="CC618" s="547"/>
    </row>
    <row r="619" spans="1:81">
      <c r="A619" s="547"/>
      <c r="B619" s="547"/>
      <c r="C619" s="547"/>
      <c r="D619" s="547"/>
      <c r="E619" s="547"/>
      <c r="F619" s="547"/>
      <c r="G619" s="547"/>
      <c r="H619" s="547"/>
      <c r="I619" s="547"/>
      <c r="J619" s="547"/>
      <c r="K619" s="547"/>
      <c r="L619" s="547"/>
      <c r="M619" s="547"/>
      <c r="N619" s="547"/>
      <c r="O619" s="547"/>
      <c r="P619" s="547"/>
      <c r="Q619" s="547"/>
      <c r="R619" s="547"/>
      <c r="S619" s="547"/>
      <c r="T619" s="547"/>
      <c r="U619" s="547"/>
      <c r="V619" s="547"/>
      <c r="W619" s="547"/>
      <c r="X619" s="547"/>
      <c r="Y619" s="547"/>
      <c r="Z619" s="547"/>
      <c r="AA619" s="547"/>
      <c r="AB619" s="547"/>
      <c r="AC619" s="547"/>
      <c r="AD619" s="547"/>
      <c r="AE619" s="547"/>
      <c r="AF619" s="547"/>
      <c r="AG619" s="547"/>
      <c r="AH619" s="547"/>
      <c r="AI619" s="547"/>
      <c r="AJ619" s="547"/>
      <c r="AK619" s="547"/>
      <c r="AL619" s="547"/>
      <c r="AM619" s="547"/>
      <c r="AN619" s="547"/>
      <c r="AO619" s="547"/>
      <c r="AP619" s="547"/>
      <c r="AQ619" s="547"/>
      <c r="AR619" s="547"/>
      <c r="AS619" s="547"/>
      <c r="AT619" s="547"/>
      <c r="AU619" s="547"/>
      <c r="AV619" s="547"/>
      <c r="AW619" s="547"/>
      <c r="AX619" s="547"/>
      <c r="AY619" s="547"/>
      <c r="AZ619" s="547"/>
      <c r="BA619" s="547"/>
      <c r="BB619" s="547"/>
      <c r="BC619" s="547"/>
      <c r="BD619" s="547"/>
      <c r="BE619" s="547"/>
      <c r="BF619" s="547"/>
      <c r="BG619" s="547"/>
      <c r="BH619" s="547"/>
      <c r="BI619" s="547"/>
      <c r="BJ619" s="547"/>
      <c r="BK619" s="547"/>
      <c r="BL619" s="547"/>
      <c r="BM619" s="547"/>
      <c r="BN619" s="547"/>
      <c r="BO619" s="547"/>
      <c r="BP619" s="547"/>
      <c r="BQ619" s="547"/>
      <c r="BR619" s="547"/>
      <c r="BS619" s="547"/>
      <c r="BT619" s="547"/>
      <c r="BU619" s="547"/>
      <c r="BV619" s="547"/>
      <c r="BW619" s="547"/>
      <c r="BX619" s="547"/>
      <c r="BY619" s="547"/>
      <c r="BZ619" s="547"/>
      <c r="CA619" s="547"/>
      <c r="CB619" s="547"/>
      <c r="CC619" s="547"/>
    </row>
    <row r="620" spans="1:81">
      <c r="A620" s="547"/>
      <c r="B620" s="547"/>
      <c r="C620" s="547"/>
      <c r="D620" s="547"/>
      <c r="E620" s="547"/>
      <c r="F620" s="547"/>
      <c r="G620" s="547"/>
      <c r="H620" s="547"/>
      <c r="I620" s="547"/>
      <c r="J620" s="547"/>
      <c r="K620" s="547"/>
      <c r="L620" s="547"/>
      <c r="M620" s="547"/>
      <c r="N620" s="547"/>
      <c r="O620" s="547"/>
      <c r="P620" s="547"/>
      <c r="Q620" s="547"/>
      <c r="R620" s="547"/>
      <c r="S620" s="547"/>
      <c r="T620" s="547"/>
      <c r="U620" s="547"/>
      <c r="V620" s="547"/>
      <c r="W620" s="547"/>
      <c r="X620" s="547"/>
      <c r="Y620" s="547"/>
      <c r="Z620" s="547"/>
      <c r="AA620" s="547"/>
      <c r="AB620" s="547"/>
      <c r="AC620" s="547"/>
      <c r="AD620" s="547"/>
      <c r="AE620" s="547"/>
      <c r="AF620" s="547"/>
      <c r="AG620" s="547"/>
      <c r="AH620" s="547"/>
      <c r="AI620" s="547"/>
      <c r="AJ620" s="547"/>
      <c r="AK620" s="547"/>
      <c r="AL620" s="547"/>
      <c r="AM620" s="547"/>
      <c r="AN620" s="547"/>
      <c r="AO620" s="547"/>
      <c r="AP620" s="547"/>
      <c r="AQ620" s="547"/>
      <c r="AR620" s="547"/>
      <c r="AS620" s="547"/>
      <c r="AT620" s="547"/>
      <c r="AU620" s="547"/>
      <c r="AV620" s="547"/>
      <c r="AW620" s="547"/>
      <c r="AX620" s="547"/>
      <c r="AY620" s="547"/>
      <c r="AZ620" s="547"/>
      <c r="BA620" s="547"/>
      <c r="BB620" s="547"/>
      <c r="BC620" s="547"/>
      <c r="BD620" s="547"/>
      <c r="BE620" s="547"/>
      <c r="BF620" s="547"/>
      <c r="BG620" s="547"/>
      <c r="BH620" s="547"/>
      <c r="BI620" s="547"/>
      <c r="BJ620" s="547"/>
      <c r="BK620" s="547"/>
      <c r="BL620" s="547"/>
      <c r="BM620" s="547"/>
      <c r="BN620" s="547"/>
      <c r="BO620" s="547"/>
      <c r="BP620" s="547"/>
      <c r="BQ620" s="547"/>
      <c r="BR620" s="547"/>
      <c r="BS620" s="547"/>
      <c r="BT620" s="547"/>
      <c r="BU620" s="547"/>
      <c r="BV620" s="547"/>
      <c r="BW620" s="547"/>
      <c r="BX620" s="547"/>
      <c r="BY620" s="547"/>
      <c r="BZ620" s="547"/>
      <c r="CA620" s="547"/>
      <c r="CB620" s="547"/>
      <c r="CC620" s="547"/>
    </row>
    <row r="621" spans="1:81">
      <c r="A621" s="547"/>
      <c r="B621" s="547"/>
      <c r="C621" s="547"/>
      <c r="D621" s="547"/>
      <c r="E621" s="547"/>
      <c r="F621" s="547"/>
      <c r="G621" s="547"/>
      <c r="H621" s="547"/>
      <c r="I621" s="547"/>
      <c r="J621" s="547"/>
      <c r="K621" s="547"/>
      <c r="L621" s="547"/>
      <c r="M621" s="547"/>
      <c r="N621" s="547"/>
      <c r="O621" s="547"/>
      <c r="P621" s="547"/>
      <c r="Q621" s="547"/>
      <c r="R621" s="547"/>
      <c r="S621" s="547"/>
      <c r="T621" s="547"/>
      <c r="U621" s="547"/>
      <c r="V621" s="547"/>
      <c r="W621" s="547"/>
      <c r="X621" s="547"/>
      <c r="Y621" s="547"/>
      <c r="Z621" s="547"/>
      <c r="AA621" s="547"/>
      <c r="AB621" s="547"/>
      <c r="AC621" s="547"/>
      <c r="AD621" s="547"/>
      <c r="AE621" s="547"/>
      <c r="AF621" s="547"/>
      <c r="AG621" s="547"/>
      <c r="AH621" s="547"/>
      <c r="AI621" s="547"/>
      <c r="AJ621" s="547"/>
      <c r="AK621" s="547"/>
      <c r="AL621" s="547"/>
      <c r="AM621" s="547"/>
      <c r="AN621" s="547"/>
      <c r="AO621" s="547"/>
      <c r="AP621" s="547"/>
      <c r="AQ621" s="547"/>
      <c r="AR621" s="547"/>
      <c r="AS621" s="547"/>
      <c r="AT621" s="547"/>
      <c r="AU621" s="547"/>
      <c r="AV621" s="547"/>
      <c r="AW621" s="547"/>
      <c r="AX621" s="547"/>
      <c r="AY621" s="547"/>
      <c r="AZ621" s="547"/>
      <c r="BA621" s="547"/>
      <c r="BB621" s="547"/>
      <c r="BC621" s="547"/>
      <c r="BD621" s="547"/>
      <c r="BE621" s="547"/>
      <c r="BF621" s="547"/>
      <c r="BG621" s="547"/>
      <c r="BH621" s="547"/>
      <c r="BI621" s="547"/>
      <c r="BJ621" s="547"/>
      <c r="BK621" s="547"/>
      <c r="BL621" s="547"/>
      <c r="BM621" s="547"/>
      <c r="BN621" s="547"/>
      <c r="BO621" s="547"/>
      <c r="BP621" s="547"/>
      <c r="BQ621" s="547"/>
      <c r="BR621" s="547"/>
      <c r="BS621" s="547"/>
      <c r="BT621" s="547"/>
      <c r="BU621" s="547"/>
      <c r="BV621" s="547"/>
      <c r="BW621" s="547"/>
      <c r="BX621" s="547"/>
      <c r="BY621" s="547"/>
      <c r="BZ621" s="547"/>
      <c r="CA621" s="547"/>
      <c r="CB621" s="547"/>
      <c r="CC621" s="547"/>
    </row>
    <row r="622" spans="1:81">
      <c r="A622" s="547"/>
      <c r="B622" s="547"/>
      <c r="C622" s="547"/>
      <c r="D622" s="547"/>
      <c r="E622" s="547"/>
      <c r="F622" s="547"/>
      <c r="G622" s="547"/>
      <c r="H622" s="547"/>
      <c r="I622" s="547"/>
      <c r="J622" s="547"/>
      <c r="K622" s="547"/>
      <c r="L622" s="547"/>
      <c r="M622" s="547"/>
      <c r="N622" s="547"/>
      <c r="O622" s="547"/>
      <c r="P622" s="547"/>
      <c r="Q622" s="547"/>
      <c r="R622" s="547"/>
      <c r="S622" s="547"/>
      <c r="T622" s="547"/>
      <c r="U622" s="547"/>
      <c r="V622" s="547"/>
      <c r="W622" s="547"/>
      <c r="X622" s="547"/>
      <c r="Y622" s="547"/>
      <c r="Z622" s="547"/>
      <c r="AA622" s="547"/>
      <c r="AB622" s="547"/>
      <c r="AC622" s="547"/>
      <c r="AD622" s="547"/>
      <c r="AE622" s="547"/>
      <c r="AF622" s="547"/>
      <c r="AG622" s="547"/>
      <c r="AH622" s="547"/>
      <c r="AI622" s="547"/>
      <c r="AJ622" s="547"/>
      <c r="AK622" s="547"/>
      <c r="AL622" s="547"/>
      <c r="AM622" s="547"/>
      <c r="AN622" s="547"/>
      <c r="AO622" s="547"/>
      <c r="AP622" s="547"/>
      <c r="AQ622" s="547"/>
      <c r="AR622" s="547"/>
      <c r="AS622" s="547"/>
      <c r="AT622" s="547"/>
      <c r="AU622" s="547"/>
      <c r="AV622" s="547"/>
      <c r="AW622" s="547"/>
      <c r="AX622" s="547"/>
      <c r="AY622" s="547"/>
      <c r="AZ622" s="547"/>
      <c r="BA622" s="547"/>
      <c r="BB622" s="547"/>
      <c r="BC622" s="547"/>
      <c r="BD622" s="547"/>
      <c r="BE622" s="547"/>
      <c r="BF622" s="547"/>
      <c r="BG622" s="547"/>
      <c r="BH622" s="547"/>
      <c r="BI622" s="547"/>
      <c r="BJ622" s="547"/>
      <c r="BK622" s="547"/>
      <c r="BL622" s="547"/>
      <c r="BM622" s="547"/>
      <c r="BN622" s="547"/>
      <c r="BO622" s="547"/>
      <c r="BP622" s="547"/>
      <c r="BQ622" s="547"/>
      <c r="BR622" s="547"/>
      <c r="BS622" s="547"/>
      <c r="BT622" s="547"/>
      <c r="BU622" s="547"/>
      <c r="BV622" s="547"/>
      <c r="BW622" s="547"/>
      <c r="BX622" s="547"/>
      <c r="BY622" s="547"/>
      <c r="BZ622" s="547"/>
      <c r="CA622" s="547"/>
      <c r="CB622" s="547"/>
      <c r="CC622" s="547"/>
    </row>
    <row r="623" spans="1:81">
      <c r="A623" s="547"/>
      <c r="B623" s="547"/>
      <c r="C623" s="547"/>
      <c r="D623" s="547"/>
      <c r="E623" s="547"/>
      <c r="F623" s="547"/>
      <c r="G623" s="547"/>
      <c r="H623" s="547"/>
      <c r="I623" s="547"/>
      <c r="J623" s="547"/>
      <c r="K623" s="547"/>
      <c r="L623" s="547"/>
      <c r="M623" s="547"/>
      <c r="N623" s="547"/>
      <c r="O623" s="547"/>
      <c r="P623" s="547"/>
      <c r="Q623" s="547"/>
      <c r="R623" s="547"/>
      <c r="S623" s="547"/>
      <c r="T623" s="547"/>
      <c r="U623" s="547"/>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row>
    <row r="624" spans="1:81">
      <c r="A624" s="547"/>
      <c r="B624" s="547"/>
      <c r="C624" s="547"/>
      <c r="D624" s="547"/>
      <c r="E624" s="547"/>
      <c r="F624" s="547"/>
      <c r="G624" s="547"/>
      <c r="H624" s="547"/>
      <c r="I624" s="547"/>
      <c r="J624" s="547"/>
      <c r="K624" s="547"/>
      <c r="L624" s="547"/>
      <c r="M624" s="547"/>
      <c r="N624" s="547"/>
      <c r="O624" s="547"/>
      <c r="P624" s="547"/>
      <c r="Q624" s="547"/>
      <c r="R624" s="547"/>
      <c r="S624" s="547"/>
      <c r="T624" s="547"/>
      <c r="U624" s="547"/>
      <c r="V624" s="547"/>
      <c r="W624" s="547"/>
      <c r="X624" s="547"/>
      <c r="Y624" s="547"/>
      <c r="Z624" s="547"/>
      <c r="AA624" s="547"/>
      <c r="AB624" s="547"/>
      <c r="AC624" s="547"/>
      <c r="AD624" s="547"/>
      <c r="AE624" s="547"/>
      <c r="AF624" s="547"/>
      <c r="AG624" s="547"/>
      <c r="AH624" s="547"/>
      <c r="AI624" s="547"/>
      <c r="AJ624" s="547"/>
      <c r="AK624" s="547"/>
      <c r="AL624" s="547"/>
      <c r="AM624" s="547"/>
      <c r="AN624" s="547"/>
      <c r="AO624" s="547"/>
      <c r="AP624" s="547"/>
      <c r="AQ624" s="547"/>
      <c r="AR624" s="547"/>
      <c r="AS624" s="547"/>
      <c r="AT624" s="547"/>
      <c r="AU624" s="547"/>
      <c r="AV624" s="547"/>
      <c r="AW624" s="547"/>
      <c r="AX624" s="547"/>
      <c r="AY624" s="547"/>
      <c r="AZ624" s="547"/>
      <c r="BA624" s="547"/>
      <c r="BB624" s="547"/>
      <c r="BC624" s="547"/>
      <c r="BD624" s="547"/>
      <c r="BE624" s="547"/>
      <c r="BF624" s="547"/>
      <c r="BG624" s="547"/>
      <c r="BH624" s="547"/>
      <c r="BI624" s="547"/>
      <c r="BJ624" s="547"/>
      <c r="BK624" s="547"/>
      <c r="BL624" s="547"/>
      <c r="BM624" s="547"/>
      <c r="BN624" s="547"/>
      <c r="BO624" s="547"/>
      <c r="BP624" s="547"/>
      <c r="BQ624" s="547"/>
      <c r="BR624" s="547"/>
      <c r="BS624" s="547"/>
      <c r="BT624" s="547"/>
      <c r="BU624" s="547"/>
      <c r="BV624" s="547"/>
      <c r="BW624" s="547"/>
      <c r="BX624" s="547"/>
      <c r="BY624" s="547"/>
      <c r="BZ624" s="547"/>
      <c r="CA624" s="547"/>
      <c r="CB624" s="547"/>
      <c r="CC624" s="547"/>
    </row>
    <row r="625" spans="1:81">
      <c r="A625" s="547"/>
      <c r="B625" s="547"/>
      <c r="C625" s="547"/>
      <c r="D625" s="547"/>
      <c r="E625" s="547"/>
      <c r="F625" s="547"/>
      <c r="G625" s="547"/>
      <c r="H625" s="547"/>
      <c r="I625" s="547"/>
      <c r="J625" s="547"/>
      <c r="K625" s="547"/>
      <c r="L625" s="547"/>
      <c r="M625" s="547"/>
      <c r="N625" s="547"/>
      <c r="O625" s="547"/>
      <c r="P625" s="547"/>
      <c r="Q625" s="547"/>
      <c r="R625" s="547"/>
      <c r="S625" s="547"/>
      <c r="T625" s="547"/>
      <c r="U625" s="547"/>
      <c r="V625" s="547"/>
      <c r="W625" s="547"/>
      <c r="X625" s="547"/>
      <c r="Y625" s="547"/>
      <c r="Z625" s="547"/>
      <c r="AA625" s="547"/>
      <c r="AB625" s="547"/>
      <c r="AC625" s="547"/>
      <c r="AD625" s="547"/>
      <c r="AE625" s="547"/>
      <c r="AF625" s="547"/>
      <c r="AG625" s="547"/>
      <c r="AH625" s="547"/>
      <c r="AI625" s="547"/>
      <c r="AJ625" s="547"/>
      <c r="AK625" s="547"/>
      <c r="AL625" s="547"/>
      <c r="AM625" s="547"/>
      <c r="AN625" s="547"/>
      <c r="AO625" s="547"/>
      <c r="AP625" s="547"/>
      <c r="AQ625" s="547"/>
      <c r="AR625" s="547"/>
      <c r="AS625" s="547"/>
      <c r="AT625" s="547"/>
      <c r="AU625" s="547"/>
      <c r="AV625" s="547"/>
      <c r="AW625" s="547"/>
      <c r="AX625" s="547"/>
      <c r="AY625" s="547"/>
      <c r="AZ625" s="547"/>
      <c r="BA625" s="547"/>
      <c r="BB625" s="547"/>
      <c r="BC625" s="547"/>
      <c r="BD625" s="547"/>
      <c r="BE625" s="547"/>
      <c r="BF625" s="547"/>
      <c r="BG625" s="547"/>
      <c r="BH625" s="547"/>
      <c r="BI625" s="547"/>
      <c r="BJ625" s="547"/>
      <c r="BK625" s="547"/>
      <c r="BL625" s="547"/>
      <c r="BM625" s="547"/>
      <c r="BN625" s="547"/>
      <c r="BO625" s="547"/>
      <c r="BP625" s="547"/>
      <c r="BQ625" s="547"/>
      <c r="BR625" s="547"/>
      <c r="BS625" s="547"/>
      <c r="BT625" s="547"/>
      <c r="BU625" s="547"/>
      <c r="BV625" s="547"/>
      <c r="BW625" s="547"/>
      <c r="BX625" s="547"/>
      <c r="BY625" s="547"/>
      <c r="BZ625" s="547"/>
      <c r="CA625" s="547"/>
      <c r="CB625" s="547"/>
      <c r="CC625" s="547"/>
    </row>
    <row r="626" spans="1:81">
      <c r="A626" s="547"/>
      <c r="B626" s="547"/>
      <c r="C626" s="547"/>
      <c r="D626" s="547"/>
      <c r="E626" s="547"/>
      <c r="F626" s="547"/>
      <c r="G626" s="547"/>
      <c r="H626" s="547"/>
      <c r="I626" s="547"/>
      <c r="J626" s="547"/>
      <c r="K626" s="547"/>
      <c r="L626" s="547"/>
      <c r="M626" s="547"/>
      <c r="N626" s="547"/>
      <c r="O626" s="547"/>
      <c r="P626" s="547"/>
      <c r="Q626" s="547"/>
      <c r="R626" s="547"/>
      <c r="S626" s="547"/>
      <c r="T626" s="547"/>
      <c r="U626" s="547"/>
      <c r="V626" s="547"/>
      <c r="W626" s="547"/>
      <c r="X626" s="547"/>
      <c r="Y626" s="547"/>
      <c r="Z626" s="547"/>
      <c r="AA626" s="547"/>
      <c r="AB626" s="547"/>
      <c r="AC626" s="547"/>
      <c r="AD626" s="547"/>
      <c r="AE626" s="547"/>
      <c r="AF626" s="547"/>
      <c r="AG626" s="547"/>
      <c r="AH626" s="547"/>
      <c r="AI626" s="547"/>
      <c r="AJ626" s="547"/>
      <c r="AK626" s="547"/>
      <c r="AL626" s="547"/>
      <c r="AM626" s="547"/>
      <c r="AN626" s="547"/>
      <c r="AO626" s="547"/>
      <c r="AP626" s="547"/>
      <c r="AQ626" s="547"/>
      <c r="AR626" s="547"/>
      <c r="AS626" s="547"/>
      <c r="AT626" s="547"/>
      <c r="AU626" s="547"/>
      <c r="AV626" s="547"/>
      <c r="AW626" s="547"/>
      <c r="AX626" s="547"/>
      <c r="AY626" s="547"/>
      <c r="AZ626" s="547"/>
      <c r="BA626" s="547"/>
      <c r="BB626" s="547"/>
      <c r="BC626" s="547"/>
      <c r="BD626" s="547"/>
      <c r="BE626" s="547"/>
      <c r="BF626" s="547"/>
      <c r="BG626" s="547"/>
      <c r="BH626" s="547"/>
      <c r="BI626" s="547"/>
      <c r="BJ626" s="547"/>
      <c r="BK626" s="547"/>
      <c r="BL626" s="547"/>
      <c r="BM626" s="547"/>
      <c r="BN626" s="547"/>
      <c r="BO626" s="547"/>
      <c r="BP626" s="547"/>
      <c r="BQ626" s="547"/>
      <c r="BR626" s="547"/>
      <c r="BS626" s="547"/>
      <c r="BT626" s="547"/>
      <c r="BU626" s="547"/>
      <c r="BV626" s="547"/>
      <c r="BW626" s="547"/>
      <c r="BX626" s="547"/>
      <c r="BY626" s="547"/>
      <c r="BZ626" s="547"/>
      <c r="CA626" s="547"/>
      <c r="CB626" s="547"/>
      <c r="CC626" s="547"/>
    </row>
    <row r="627" spans="1:81">
      <c r="A627" s="547"/>
      <c r="B627" s="547"/>
      <c r="C627" s="547"/>
      <c r="D627" s="547"/>
      <c r="E627" s="547"/>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c r="AK627" s="547"/>
      <c r="AL627" s="547"/>
      <c r="AM627" s="547"/>
      <c r="AN627" s="547"/>
      <c r="AO627" s="547"/>
      <c r="AP627" s="547"/>
      <c r="AQ627" s="547"/>
      <c r="AR627" s="547"/>
      <c r="AS627" s="547"/>
      <c r="AT627" s="547"/>
      <c r="AU627" s="547"/>
      <c r="AV627" s="547"/>
      <c r="AW627" s="547"/>
      <c r="AX627" s="547"/>
      <c r="AY627" s="547"/>
      <c r="AZ627" s="547"/>
      <c r="BA627" s="547"/>
      <c r="BB627" s="547"/>
      <c r="BC627" s="547"/>
      <c r="BD627" s="547"/>
      <c r="BE627" s="547"/>
      <c r="BF627" s="547"/>
      <c r="BG627" s="547"/>
      <c r="BH627" s="547"/>
      <c r="BI627" s="547"/>
      <c r="BJ627" s="547"/>
      <c r="BK627" s="547"/>
      <c r="BL627" s="547"/>
      <c r="BM627" s="547"/>
      <c r="BN627" s="547"/>
      <c r="BO627" s="547"/>
      <c r="BP627" s="547"/>
      <c r="BQ627" s="547"/>
      <c r="BR627" s="547"/>
      <c r="BS627" s="547"/>
      <c r="BT627" s="547"/>
      <c r="BU627" s="547"/>
      <c r="BV627" s="547"/>
      <c r="BW627" s="547"/>
      <c r="BX627" s="547"/>
      <c r="BY627" s="547"/>
      <c r="BZ627" s="547"/>
      <c r="CA627" s="547"/>
      <c r="CB627" s="547"/>
      <c r="CC627" s="547"/>
    </row>
    <row r="628" spans="1:81">
      <c r="A628" s="547"/>
      <c r="B628" s="547"/>
      <c r="C628" s="547"/>
      <c r="D628" s="547"/>
      <c r="E628" s="547"/>
      <c r="F628" s="547"/>
      <c r="G628" s="547"/>
      <c r="H628" s="547"/>
      <c r="I628" s="547"/>
      <c r="J628" s="547"/>
      <c r="K628" s="547"/>
      <c r="L628" s="547"/>
      <c r="M628" s="547"/>
      <c r="N628" s="547"/>
      <c r="O628" s="547"/>
      <c r="P628" s="547"/>
      <c r="Q628" s="547"/>
      <c r="R628" s="547"/>
      <c r="S628" s="547"/>
      <c r="T628" s="547"/>
      <c r="U628" s="547"/>
      <c r="V628" s="547"/>
      <c r="W628" s="547"/>
      <c r="X628" s="547"/>
      <c r="Y628" s="547"/>
      <c r="Z628" s="547"/>
      <c r="AA628" s="547"/>
      <c r="AB628" s="547"/>
      <c r="AC628" s="547"/>
      <c r="AD628" s="547"/>
      <c r="AE628" s="547"/>
      <c r="AF628" s="547"/>
      <c r="AG628" s="547"/>
      <c r="AH628" s="547"/>
      <c r="AI628" s="547"/>
      <c r="AJ628" s="547"/>
      <c r="AK628" s="547"/>
      <c r="AL628" s="547"/>
      <c r="AM628" s="547"/>
      <c r="AN628" s="547"/>
      <c r="AO628" s="547"/>
      <c r="AP628" s="547"/>
      <c r="AQ628" s="547"/>
      <c r="AR628" s="547"/>
      <c r="AS628" s="547"/>
      <c r="AT628" s="547"/>
      <c r="AU628" s="547"/>
      <c r="AV628" s="547"/>
      <c r="AW628" s="547"/>
      <c r="AX628" s="547"/>
      <c r="AY628" s="547"/>
      <c r="AZ628" s="547"/>
      <c r="BA628" s="547"/>
      <c r="BB628" s="547"/>
      <c r="BC628" s="547"/>
      <c r="BD628" s="547"/>
      <c r="BE628" s="547"/>
      <c r="BF628" s="547"/>
      <c r="BG628" s="547"/>
      <c r="BH628" s="547"/>
      <c r="BI628" s="547"/>
      <c r="BJ628" s="547"/>
      <c r="BK628" s="547"/>
      <c r="BL628" s="547"/>
      <c r="BM628" s="547"/>
      <c r="BN628" s="547"/>
      <c r="BO628" s="547"/>
      <c r="BP628" s="547"/>
      <c r="BQ628" s="547"/>
      <c r="BR628" s="547"/>
      <c r="BS628" s="547"/>
      <c r="BT628" s="547"/>
      <c r="BU628" s="547"/>
      <c r="BV628" s="547"/>
      <c r="BW628" s="547"/>
      <c r="BX628" s="547"/>
      <c r="BY628" s="547"/>
      <c r="BZ628" s="547"/>
      <c r="CA628" s="547"/>
      <c r="CB628" s="547"/>
      <c r="CC628" s="547"/>
    </row>
    <row r="629" spans="1:81">
      <c r="A629" s="547"/>
      <c r="B629" s="547"/>
      <c r="C629" s="547"/>
      <c r="D629" s="547"/>
      <c r="E629" s="547"/>
      <c r="F629" s="547"/>
      <c r="G629" s="547"/>
      <c r="H629" s="547"/>
      <c r="I629" s="547"/>
      <c r="J629" s="547"/>
      <c r="K629" s="547"/>
      <c r="L629" s="547"/>
      <c r="M629" s="547"/>
      <c r="N629" s="547"/>
      <c r="O629" s="547"/>
      <c r="P629" s="547"/>
      <c r="Q629" s="547"/>
      <c r="R629" s="547"/>
      <c r="S629" s="547"/>
      <c r="T629" s="547"/>
      <c r="U629" s="547"/>
      <c r="V629" s="547"/>
      <c r="W629" s="547"/>
      <c r="X629" s="547"/>
      <c r="Y629" s="547"/>
      <c r="Z629" s="547"/>
      <c r="AA629" s="547"/>
      <c r="AB629" s="547"/>
      <c r="AC629" s="547"/>
      <c r="AD629" s="547"/>
      <c r="AE629" s="547"/>
      <c r="AF629" s="547"/>
      <c r="AG629" s="547"/>
      <c r="AH629" s="547"/>
      <c r="AI629" s="547"/>
      <c r="AJ629" s="547"/>
      <c r="AK629" s="547"/>
      <c r="AL629" s="547"/>
      <c r="AM629" s="547"/>
      <c r="AN629" s="547"/>
      <c r="AO629" s="547"/>
      <c r="AP629" s="547"/>
      <c r="AQ629" s="547"/>
      <c r="AR629" s="547"/>
      <c r="AS629" s="547"/>
      <c r="AT629" s="547"/>
      <c r="AU629" s="547"/>
      <c r="AV629" s="547"/>
      <c r="AW629" s="547"/>
      <c r="AX629" s="547"/>
      <c r="AY629" s="547"/>
      <c r="AZ629" s="547"/>
      <c r="BA629" s="547"/>
      <c r="BB629" s="547"/>
      <c r="BC629" s="547"/>
      <c r="BD629" s="547"/>
      <c r="BE629" s="547"/>
      <c r="BF629" s="547"/>
      <c r="BG629" s="547"/>
      <c r="BH629" s="547"/>
      <c r="BI629" s="547"/>
      <c r="BJ629" s="547"/>
      <c r="BK629" s="547"/>
      <c r="BL629" s="547"/>
      <c r="BM629" s="547"/>
      <c r="BN629" s="547"/>
      <c r="BO629" s="547"/>
      <c r="BP629" s="547"/>
      <c r="BQ629" s="547"/>
      <c r="BR629" s="547"/>
      <c r="BS629" s="547"/>
      <c r="BT629" s="547"/>
      <c r="BU629" s="547"/>
      <c r="BV629" s="547"/>
      <c r="BW629" s="547"/>
      <c r="BX629" s="547"/>
      <c r="BY629" s="547"/>
      <c r="BZ629" s="547"/>
      <c r="CA629" s="547"/>
      <c r="CB629" s="547"/>
      <c r="CC629" s="547"/>
    </row>
    <row r="630" spans="1:81">
      <c r="A630" s="547"/>
      <c r="B630" s="547"/>
      <c r="C630" s="547"/>
      <c r="D630" s="547"/>
      <c r="E630" s="547"/>
      <c r="F630" s="547"/>
      <c r="G630" s="547"/>
      <c r="H630" s="547"/>
      <c r="I630" s="547"/>
      <c r="J630" s="547"/>
      <c r="K630" s="547"/>
      <c r="L630" s="547"/>
      <c r="M630" s="547"/>
      <c r="N630" s="547"/>
      <c r="O630" s="547"/>
      <c r="P630" s="547"/>
      <c r="Q630" s="547"/>
      <c r="R630" s="547"/>
      <c r="S630" s="547"/>
      <c r="T630" s="547"/>
      <c r="U630" s="547"/>
      <c r="V630" s="547"/>
      <c r="W630" s="547"/>
      <c r="X630" s="547"/>
      <c r="Y630" s="547"/>
      <c r="Z630" s="547"/>
      <c r="AA630" s="547"/>
      <c r="AB630" s="547"/>
      <c r="AC630" s="547"/>
      <c r="AD630" s="547"/>
      <c r="AE630" s="547"/>
      <c r="AF630" s="547"/>
      <c r="AG630" s="547"/>
      <c r="AH630" s="547"/>
      <c r="AI630" s="547"/>
      <c r="AJ630" s="547"/>
      <c r="AK630" s="547"/>
      <c r="AL630" s="547"/>
      <c r="AM630" s="547"/>
      <c r="AN630" s="547"/>
      <c r="AO630" s="547"/>
      <c r="AP630" s="547"/>
      <c r="AQ630" s="547"/>
      <c r="AR630" s="547"/>
      <c r="AS630" s="547"/>
      <c r="AT630" s="547"/>
      <c r="AU630" s="547"/>
      <c r="AV630" s="547"/>
      <c r="AW630" s="547"/>
      <c r="AX630" s="547"/>
      <c r="AY630" s="547"/>
      <c r="AZ630" s="547"/>
      <c r="BA630" s="547"/>
      <c r="BB630" s="547"/>
      <c r="BC630" s="547"/>
      <c r="BD630" s="547"/>
      <c r="BE630" s="547"/>
      <c r="BF630" s="547"/>
      <c r="BG630" s="547"/>
      <c r="BH630" s="547"/>
      <c r="BI630" s="547"/>
      <c r="BJ630" s="547"/>
      <c r="BK630" s="547"/>
      <c r="BL630" s="547"/>
      <c r="BM630" s="547"/>
      <c r="BN630" s="547"/>
      <c r="BO630" s="547"/>
      <c r="BP630" s="547"/>
      <c r="BQ630" s="547"/>
      <c r="BR630" s="547"/>
      <c r="BS630" s="547"/>
      <c r="BT630" s="547"/>
      <c r="BU630" s="547"/>
      <c r="BV630" s="547"/>
      <c r="BW630" s="547"/>
      <c r="BX630" s="547"/>
      <c r="BY630" s="547"/>
      <c r="BZ630" s="547"/>
      <c r="CA630" s="547"/>
      <c r="CB630" s="547"/>
      <c r="CC630" s="547"/>
    </row>
    <row r="631" spans="1:81">
      <c r="A631" s="547"/>
      <c r="B631" s="547"/>
      <c r="C631" s="547"/>
      <c r="D631" s="547"/>
      <c r="E631" s="547"/>
      <c r="F631" s="547"/>
      <c r="G631" s="547"/>
      <c r="H631" s="547"/>
      <c r="I631" s="547"/>
      <c r="J631" s="547"/>
      <c r="K631" s="547"/>
      <c r="L631" s="547"/>
      <c r="M631" s="547"/>
      <c r="N631" s="547"/>
      <c r="O631" s="547"/>
      <c r="P631" s="547"/>
      <c r="Q631" s="547"/>
      <c r="R631" s="547"/>
      <c r="S631" s="547"/>
      <c r="T631" s="547"/>
      <c r="U631" s="547"/>
      <c r="V631" s="547"/>
      <c r="W631" s="547"/>
      <c r="X631" s="547"/>
      <c r="Y631" s="547"/>
      <c r="Z631" s="547"/>
      <c r="AA631" s="547"/>
      <c r="AB631" s="547"/>
      <c r="AC631" s="547"/>
      <c r="AD631" s="547"/>
      <c r="AE631" s="547"/>
      <c r="AF631" s="547"/>
      <c r="AG631" s="547"/>
      <c r="AH631" s="547"/>
      <c r="AI631" s="547"/>
      <c r="AJ631" s="547"/>
      <c r="AK631" s="547"/>
      <c r="AL631" s="547"/>
      <c r="AM631" s="547"/>
      <c r="AN631" s="547"/>
      <c r="AO631" s="547"/>
      <c r="AP631" s="547"/>
      <c r="AQ631" s="547"/>
      <c r="AR631" s="547"/>
      <c r="AS631" s="547"/>
      <c r="AT631" s="547"/>
      <c r="AU631" s="547"/>
      <c r="AV631" s="547"/>
      <c r="AW631" s="547"/>
      <c r="AX631" s="547"/>
      <c r="AY631" s="547"/>
      <c r="AZ631" s="547"/>
      <c r="BA631" s="547"/>
      <c r="BB631" s="547"/>
      <c r="BC631" s="547"/>
      <c r="BD631" s="547"/>
      <c r="BE631" s="547"/>
      <c r="BF631" s="547"/>
      <c r="BG631" s="547"/>
      <c r="BH631" s="547"/>
      <c r="BI631" s="547"/>
      <c r="BJ631" s="547"/>
      <c r="BK631" s="547"/>
      <c r="BL631" s="547"/>
      <c r="BM631" s="547"/>
      <c r="BN631" s="547"/>
      <c r="BO631" s="547"/>
      <c r="BP631" s="547"/>
      <c r="BQ631" s="547"/>
      <c r="BR631" s="547"/>
      <c r="BS631" s="547"/>
      <c r="BT631" s="547"/>
      <c r="BU631" s="547"/>
      <c r="BV631" s="547"/>
      <c r="BW631" s="547"/>
      <c r="BX631" s="547"/>
      <c r="BY631" s="547"/>
      <c r="BZ631" s="547"/>
      <c r="CA631" s="547"/>
      <c r="CB631" s="547"/>
      <c r="CC631" s="547"/>
    </row>
    <row r="632" spans="1:81">
      <c r="A632" s="547"/>
      <c r="B632" s="547"/>
      <c r="C632" s="547"/>
      <c r="D632" s="547"/>
      <c r="E632" s="547"/>
      <c r="F632" s="547"/>
      <c r="G632" s="547"/>
      <c r="H632" s="547"/>
      <c r="I632" s="547"/>
      <c r="J632" s="547"/>
      <c r="K632" s="547"/>
      <c r="L632" s="547"/>
      <c r="M632" s="547"/>
      <c r="N632" s="547"/>
      <c r="O632" s="547"/>
      <c r="P632" s="547"/>
      <c r="Q632" s="547"/>
      <c r="R632" s="547"/>
      <c r="S632" s="547"/>
      <c r="T632" s="547"/>
      <c r="U632" s="547"/>
      <c r="V632" s="547"/>
      <c r="W632" s="547"/>
      <c r="X632" s="547"/>
      <c r="Y632" s="547"/>
      <c r="Z632" s="547"/>
      <c r="AA632" s="547"/>
      <c r="AB632" s="547"/>
      <c r="AC632" s="547"/>
      <c r="AD632" s="547"/>
      <c r="AE632" s="547"/>
      <c r="AF632" s="547"/>
      <c r="AG632" s="547"/>
      <c r="AH632" s="547"/>
      <c r="AI632" s="547"/>
      <c r="AJ632" s="547"/>
      <c r="AK632" s="547"/>
      <c r="AL632" s="547"/>
      <c r="AM632" s="547"/>
      <c r="AN632" s="547"/>
      <c r="AO632" s="547"/>
      <c r="AP632" s="547"/>
      <c r="AQ632" s="547"/>
      <c r="AR632" s="547"/>
      <c r="AS632" s="547"/>
      <c r="AT632" s="547"/>
      <c r="AU632" s="547"/>
      <c r="AV632" s="547"/>
      <c r="AW632" s="547"/>
      <c r="AX632" s="547"/>
      <c r="AY632" s="547"/>
      <c r="AZ632" s="547"/>
      <c r="BA632" s="547"/>
      <c r="BB632" s="547"/>
      <c r="BC632" s="547"/>
      <c r="BD632" s="547"/>
      <c r="BE632" s="547"/>
      <c r="BF632" s="547"/>
      <c r="BG632" s="547"/>
      <c r="BH632" s="547"/>
      <c r="BI632" s="547"/>
      <c r="BJ632" s="547"/>
      <c r="BK632" s="547"/>
      <c r="BL632" s="547"/>
      <c r="BM632" s="547"/>
      <c r="BN632" s="547"/>
      <c r="BO632" s="547"/>
      <c r="BP632" s="547"/>
      <c r="BQ632" s="547"/>
      <c r="BR632" s="547"/>
      <c r="BS632" s="547"/>
      <c r="BT632" s="547"/>
      <c r="BU632" s="547"/>
      <c r="BV632" s="547"/>
      <c r="BW632" s="547"/>
      <c r="BX632" s="547"/>
      <c r="BY632" s="547"/>
      <c r="BZ632" s="547"/>
      <c r="CA632" s="547"/>
      <c r="CB632" s="547"/>
      <c r="CC632" s="547"/>
    </row>
    <row r="633" spans="1:81">
      <c r="A633" s="547"/>
      <c r="B633" s="547"/>
      <c r="C633" s="547"/>
      <c r="D633" s="547"/>
      <c r="E633" s="547"/>
      <c r="F633" s="547"/>
      <c r="G633" s="547"/>
      <c r="H633" s="547"/>
      <c r="I633" s="547"/>
      <c r="J633" s="547"/>
      <c r="K633" s="547"/>
      <c r="L633" s="547"/>
      <c r="M633" s="547"/>
      <c r="N633" s="547"/>
      <c r="O633" s="547"/>
      <c r="P633" s="547"/>
      <c r="Q633" s="547"/>
      <c r="R633" s="547"/>
      <c r="S633" s="547"/>
      <c r="T633" s="547"/>
      <c r="U633" s="547"/>
      <c r="V633" s="547"/>
      <c r="W633" s="547"/>
      <c r="X633" s="547"/>
      <c r="Y633" s="547"/>
      <c r="Z633" s="547"/>
      <c r="AA633" s="547"/>
      <c r="AB633" s="547"/>
      <c r="AC633" s="547"/>
      <c r="AD633" s="547"/>
      <c r="AE633" s="547"/>
      <c r="AF633" s="547"/>
      <c r="AG633" s="547"/>
      <c r="AH633" s="547"/>
      <c r="AI633" s="547"/>
      <c r="AJ633" s="547"/>
      <c r="AK633" s="547"/>
      <c r="AL633" s="547"/>
      <c r="AM633" s="547"/>
      <c r="AN633" s="547"/>
      <c r="AO633" s="547"/>
      <c r="AP633" s="547"/>
      <c r="AQ633" s="547"/>
      <c r="AR633" s="547"/>
      <c r="AS633" s="547"/>
      <c r="AT633" s="547"/>
      <c r="AU633" s="547"/>
      <c r="AV633" s="547"/>
      <c r="AW633" s="547"/>
      <c r="AX633" s="547"/>
      <c r="AY633" s="547"/>
      <c r="AZ633" s="547"/>
      <c r="BA633" s="547"/>
      <c r="BB633" s="547"/>
      <c r="BC633" s="547"/>
      <c r="BD633" s="547"/>
      <c r="BE633" s="547"/>
      <c r="BF633" s="547"/>
      <c r="BG633" s="547"/>
      <c r="BH633" s="547"/>
      <c r="BI633" s="547"/>
      <c r="BJ633" s="547"/>
      <c r="BK633" s="547"/>
      <c r="BL633" s="547"/>
      <c r="BM633" s="547"/>
      <c r="BN633" s="547"/>
      <c r="BO633" s="547"/>
      <c r="BP633" s="547"/>
      <c r="BQ633" s="547"/>
      <c r="BR633" s="547"/>
      <c r="BS633" s="547"/>
      <c r="BT633" s="547"/>
      <c r="BU633" s="547"/>
      <c r="BV633" s="547"/>
      <c r="BW633" s="547"/>
      <c r="BX633" s="547"/>
      <c r="BY633" s="547"/>
      <c r="BZ633" s="547"/>
      <c r="CA633" s="547"/>
      <c r="CB633" s="547"/>
      <c r="CC633" s="547"/>
    </row>
    <row r="634" spans="1:81">
      <c r="A634" s="547"/>
      <c r="B634" s="547"/>
      <c r="C634" s="547"/>
      <c r="D634" s="547"/>
      <c r="E634" s="547"/>
      <c r="F634" s="547"/>
      <c r="G634" s="547"/>
      <c r="H634" s="547"/>
      <c r="I634" s="547"/>
      <c r="J634" s="547"/>
      <c r="K634" s="547"/>
      <c r="L634" s="547"/>
      <c r="M634" s="547"/>
      <c r="N634" s="547"/>
      <c r="O634" s="547"/>
      <c r="P634" s="547"/>
      <c r="Q634" s="547"/>
      <c r="R634" s="547"/>
      <c r="S634" s="547"/>
      <c r="T634" s="547"/>
      <c r="U634" s="547"/>
      <c r="V634" s="547"/>
      <c r="W634" s="547"/>
      <c r="X634" s="547"/>
      <c r="Y634" s="547"/>
      <c r="Z634" s="547"/>
      <c r="AA634" s="547"/>
      <c r="AB634" s="547"/>
      <c r="AC634" s="547"/>
      <c r="AD634" s="547"/>
      <c r="AE634" s="547"/>
      <c r="AF634" s="547"/>
      <c r="AG634" s="547"/>
      <c r="AH634" s="547"/>
      <c r="AI634" s="547"/>
      <c r="AJ634" s="547"/>
      <c r="AK634" s="547"/>
      <c r="AL634" s="547"/>
      <c r="AM634" s="547"/>
      <c r="AN634" s="547"/>
      <c r="AO634" s="547"/>
      <c r="AP634" s="547"/>
      <c r="AQ634" s="547"/>
      <c r="AR634" s="547"/>
      <c r="AS634" s="547"/>
      <c r="AT634" s="547"/>
      <c r="AU634" s="547"/>
      <c r="AV634" s="547"/>
      <c r="AW634" s="547"/>
      <c r="AX634" s="547"/>
      <c r="AY634" s="547"/>
      <c r="AZ634" s="547"/>
      <c r="BA634" s="547"/>
      <c r="BB634" s="547"/>
      <c r="BC634" s="547"/>
      <c r="BD634" s="547"/>
      <c r="BE634" s="547"/>
      <c r="BF634" s="547"/>
      <c r="BG634" s="547"/>
      <c r="BH634" s="547"/>
      <c r="BI634" s="547"/>
      <c r="BJ634" s="547"/>
      <c r="BK634" s="547"/>
      <c r="BL634" s="547"/>
      <c r="BM634" s="547"/>
      <c r="BN634" s="547"/>
      <c r="BO634" s="547"/>
      <c r="BP634" s="547"/>
      <c r="BQ634" s="547"/>
      <c r="BR634" s="547"/>
      <c r="BS634" s="547"/>
      <c r="BT634" s="547"/>
      <c r="BU634" s="547"/>
      <c r="BV634" s="547"/>
      <c r="BW634" s="547"/>
      <c r="BX634" s="547"/>
      <c r="BY634" s="547"/>
      <c r="BZ634" s="547"/>
      <c r="CA634" s="547"/>
      <c r="CB634" s="547"/>
      <c r="CC634" s="547"/>
    </row>
    <row r="635" spans="1:81">
      <c r="A635" s="547"/>
      <c r="B635" s="547"/>
      <c r="C635" s="547"/>
      <c r="D635" s="547"/>
      <c r="E635" s="547"/>
      <c r="F635" s="547"/>
      <c r="G635" s="547"/>
      <c r="H635" s="547"/>
      <c r="I635" s="547"/>
      <c r="J635" s="547"/>
      <c r="K635" s="547"/>
      <c r="L635" s="547"/>
      <c r="M635" s="547"/>
      <c r="N635" s="547"/>
      <c r="O635" s="547"/>
      <c r="P635" s="547"/>
      <c r="Q635" s="547"/>
      <c r="R635" s="547"/>
      <c r="S635" s="547"/>
      <c r="T635" s="547"/>
      <c r="U635" s="547"/>
      <c r="V635" s="547"/>
      <c r="W635" s="547"/>
      <c r="X635" s="547"/>
      <c r="Y635" s="547"/>
      <c r="Z635" s="547"/>
      <c r="AA635" s="547"/>
      <c r="AB635" s="547"/>
      <c r="AC635" s="547"/>
      <c r="AD635" s="547"/>
      <c r="AE635" s="547"/>
      <c r="AF635" s="547"/>
      <c r="AG635" s="547"/>
      <c r="AH635" s="547"/>
      <c r="AI635" s="547"/>
      <c r="AJ635" s="547"/>
      <c r="AK635" s="547"/>
      <c r="AL635" s="547"/>
      <c r="AM635" s="547"/>
      <c r="AN635" s="547"/>
      <c r="AO635" s="547"/>
      <c r="AP635" s="547"/>
      <c r="AQ635" s="547"/>
      <c r="AR635" s="547"/>
      <c r="AS635" s="547"/>
      <c r="AT635" s="547"/>
      <c r="AU635" s="547"/>
      <c r="AV635" s="547"/>
      <c r="AW635" s="547"/>
      <c r="AX635" s="547"/>
      <c r="AY635" s="547"/>
      <c r="AZ635" s="547"/>
      <c r="BA635" s="547"/>
      <c r="BB635" s="547"/>
      <c r="BC635" s="547"/>
      <c r="BD635" s="547"/>
      <c r="BE635" s="547"/>
      <c r="BF635" s="547"/>
      <c r="BG635" s="547"/>
      <c r="BH635" s="547"/>
      <c r="BI635" s="547"/>
      <c r="BJ635" s="547"/>
      <c r="BK635" s="547"/>
      <c r="BL635" s="547"/>
      <c r="BM635" s="547"/>
      <c r="BN635" s="547"/>
      <c r="BO635" s="547"/>
      <c r="BP635" s="547"/>
      <c r="BQ635" s="547"/>
      <c r="BR635" s="547"/>
      <c r="BS635" s="547"/>
      <c r="BT635" s="547"/>
      <c r="BU635" s="547"/>
      <c r="BV635" s="547"/>
      <c r="BW635" s="547"/>
      <c r="BX635" s="547"/>
      <c r="BY635" s="547"/>
      <c r="BZ635" s="547"/>
      <c r="CA635" s="547"/>
      <c r="CB635" s="547"/>
      <c r="CC635" s="547"/>
    </row>
    <row r="636" spans="1:81">
      <c r="A636" s="547"/>
      <c r="B636" s="547"/>
      <c r="C636" s="547"/>
      <c r="D636" s="547"/>
      <c r="E636" s="547"/>
      <c r="F636" s="547"/>
      <c r="G636" s="547"/>
      <c r="H636" s="547"/>
      <c r="I636" s="547"/>
      <c r="J636" s="547"/>
      <c r="K636" s="547"/>
      <c r="L636" s="547"/>
      <c r="M636" s="547"/>
      <c r="N636" s="547"/>
      <c r="O636" s="547"/>
      <c r="P636" s="547"/>
      <c r="Q636" s="547"/>
      <c r="R636" s="547"/>
      <c r="S636" s="547"/>
      <c r="T636" s="547"/>
      <c r="U636" s="547"/>
      <c r="V636" s="547"/>
      <c r="W636" s="547"/>
      <c r="X636" s="547"/>
      <c r="Y636" s="547"/>
      <c r="Z636" s="547"/>
      <c r="AA636" s="547"/>
      <c r="AB636" s="547"/>
      <c r="AC636" s="547"/>
      <c r="AD636" s="547"/>
      <c r="AE636" s="547"/>
      <c r="AF636" s="547"/>
      <c r="AG636" s="547"/>
      <c r="AH636" s="547"/>
      <c r="AI636" s="547"/>
      <c r="AJ636" s="547"/>
      <c r="AK636" s="547"/>
      <c r="AL636" s="547"/>
      <c r="AM636" s="547"/>
      <c r="AN636" s="547"/>
      <c r="AO636" s="547"/>
      <c r="AP636" s="547"/>
      <c r="AQ636" s="547"/>
      <c r="AR636" s="547"/>
      <c r="AS636" s="547"/>
      <c r="AT636" s="547"/>
      <c r="AU636" s="547"/>
      <c r="AV636" s="547"/>
      <c r="AW636" s="547"/>
      <c r="AX636" s="547"/>
      <c r="AY636" s="547"/>
      <c r="AZ636" s="547"/>
      <c r="BA636" s="547"/>
      <c r="BB636" s="547"/>
      <c r="BC636" s="547"/>
      <c r="BD636" s="547"/>
      <c r="BE636" s="547"/>
      <c r="BF636" s="547"/>
      <c r="BG636" s="547"/>
      <c r="BH636" s="547"/>
      <c r="BI636" s="547"/>
      <c r="BJ636" s="547"/>
      <c r="BK636" s="547"/>
      <c r="BL636" s="547"/>
      <c r="BM636" s="547"/>
      <c r="BN636" s="547"/>
      <c r="BO636" s="547"/>
      <c r="BP636" s="547"/>
      <c r="BQ636" s="547"/>
      <c r="BR636" s="547"/>
      <c r="BS636" s="547"/>
      <c r="BT636" s="547"/>
      <c r="BU636" s="547"/>
      <c r="BV636" s="547"/>
      <c r="BW636" s="547"/>
      <c r="BX636" s="547"/>
      <c r="BY636" s="547"/>
      <c r="BZ636" s="547"/>
      <c r="CA636" s="547"/>
      <c r="CB636" s="547"/>
      <c r="CC636" s="547"/>
    </row>
    <row r="637" spans="1:81">
      <c r="A637" s="547"/>
      <c r="B637" s="547"/>
      <c r="C637" s="547"/>
      <c r="D637" s="547"/>
      <c r="E637" s="547"/>
      <c r="F637" s="547"/>
      <c r="G637" s="547"/>
      <c r="H637" s="547"/>
      <c r="I637" s="547"/>
      <c r="J637" s="547"/>
      <c r="K637" s="547"/>
      <c r="L637" s="547"/>
      <c r="M637" s="547"/>
      <c r="N637" s="547"/>
      <c r="O637" s="547"/>
      <c r="P637" s="547"/>
      <c r="Q637" s="547"/>
      <c r="R637" s="547"/>
      <c r="S637" s="547"/>
      <c r="T637" s="547"/>
      <c r="U637" s="547"/>
      <c r="V637" s="547"/>
      <c r="W637" s="547"/>
      <c r="X637" s="547"/>
      <c r="Y637" s="547"/>
      <c r="Z637" s="547"/>
      <c r="AA637" s="547"/>
      <c r="AB637" s="547"/>
      <c r="AC637" s="547"/>
      <c r="AD637" s="547"/>
      <c r="AE637" s="547"/>
      <c r="AF637" s="547"/>
      <c r="AG637" s="547"/>
      <c r="AH637" s="547"/>
      <c r="AI637" s="547"/>
      <c r="AJ637" s="547"/>
      <c r="AK637" s="547"/>
      <c r="AL637" s="547"/>
      <c r="AM637" s="547"/>
      <c r="AN637" s="547"/>
      <c r="AO637" s="547"/>
      <c r="AP637" s="547"/>
      <c r="AQ637" s="547"/>
      <c r="AR637" s="547"/>
      <c r="AS637" s="547"/>
      <c r="AT637" s="547"/>
      <c r="AU637" s="547"/>
      <c r="AV637" s="547"/>
      <c r="AW637" s="547"/>
      <c r="AX637" s="547"/>
      <c r="AY637" s="547"/>
      <c r="AZ637" s="547"/>
      <c r="BA637" s="547"/>
      <c r="BB637" s="547"/>
      <c r="BC637" s="547"/>
      <c r="BD637" s="547"/>
      <c r="BE637" s="547"/>
      <c r="BF637" s="547"/>
      <c r="BG637" s="547"/>
      <c r="BH637" s="547"/>
      <c r="BI637" s="547"/>
      <c r="BJ637" s="547"/>
      <c r="BK637" s="547"/>
      <c r="BL637" s="547"/>
      <c r="BM637" s="547"/>
      <c r="BN637" s="547"/>
      <c r="BO637" s="547"/>
      <c r="BP637" s="547"/>
      <c r="BQ637" s="547"/>
      <c r="BR637" s="547"/>
      <c r="BS637" s="547"/>
      <c r="BT637" s="547"/>
      <c r="BU637" s="547"/>
      <c r="BV637" s="547"/>
      <c r="BW637" s="547"/>
      <c r="BX637" s="547"/>
      <c r="BY637" s="547"/>
      <c r="BZ637" s="547"/>
      <c r="CA637" s="547"/>
      <c r="CB637" s="547"/>
      <c r="CC637" s="547"/>
    </row>
    <row r="638" spans="1:81">
      <c r="A638" s="547"/>
      <c r="B638" s="547"/>
      <c r="C638" s="547"/>
      <c r="D638" s="547"/>
      <c r="E638" s="547"/>
      <c r="F638" s="547"/>
      <c r="G638" s="547"/>
      <c r="H638" s="547"/>
      <c r="I638" s="547"/>
      <c r="J638" s="547"/>
      <c r="K638" s="547"/>
      <c r="L638" s="547"/>
      <c r="M638" s="547"/>
      <c r="N638" s="547"/>
      <c r="O638" s="547"/>
      <c r="P638" s="547"/>
      <c r="Q638" s="547"/>
      <c r="R638" s="547"/>
      <c r="S638" s="547"/>
      <c r="T638" s="547"/>
      <c r="U638" s="547"/>
      <c r="V638" s="547"/>
      <c r="W638" s="547"/>
      <c r="X638" s="547"/>
      <c r="Y638" s="547"/>
      <c r="Z638" s="547"/>
      <c r="AA638" s="547"/>
      <c r="AB638" s="547"/>
      <c r="AC638" s="547"/>
      <c r="AD638" s="547"/>
      <c r="AE638" s="547"/>
      <c r="AF638" s="547"/>
      <c r="AG638" s="547"/>
      <c r="AH638" s="547"/>
      <c r="AI638" s="547"/>
      <c r="AJ638" s="547"/>
      <c r="AK638" s="547"/>
      <c r="AL638" s="547"/>
      <c r="AM638" s="547"/>
      <c r="AN638" s="547"/>
      <c r="AO638" s="547"/>
      <c r="AP638" s="547"/>
      <c r="AQ638" s="547"/>
      <c r="AR638" s="547"/>
      <c r="AS638" s="547"/>
      <c r="AT638" s="547"/>
      <c r="AU638" s="547"/>
      <c r="AV638" s="547"/>
      <c r="AW638" s="547"/>
      <c r="AX638" s="547"/>
      <c r="AY638" s="547"/>
      <c r="AZ638" s="547"/>
      <c r="BA638" s="547"/>
      <c r="BB638" s="547"/>
      <c r="BC638" s="547"/>
      <c r="BD638" s="547"/>
      <c r="BE638" s="547"/>
      <c r="BF638" s="547"/>
      <c r="BG638" s="547"/>
      <c r="BH638" s="547"/>
      <c r="BI638" s="547"/>
      <c r="BJ638" s="547"/>
      <c r="BK638" s="547"/>
      <c r="BL638" s="547"/>
      <c r="BM638" s="547"/>
      <c r="BN638" s="547"/>
      <c r="BO638" s="547"/>
      <c r="BP638" s="547"/>
      <c r="BQ638" s="547"/>
      <c r="BR638" s="547"/>
      <c r="BS638" s="547"/>
      <c r="BT638" s="547"/>
      <c r="BU638" s="547"/>
      <c r="BV638" s="547"/>
      <c r="BW638" s="547"/>
      <c r="BX638" s="547"/>
      <c r="BY638" s="547"/>
      <c r="BZ638" s="547"/>
      <c r="CA638" s="547"/>
      <c r="CB638" s="547"/>
      <c r="CC638" s="547"/>
    </row>
    <row r="639" spans="1:81">
      <c r="A639" s="547"/>
      <c r="B639" s="547"/>
      <c r="C639" s="547"/>
      <c r="D639" s="547"/>
      <c r="E639" s="547"/>
      <c r="F639" s="547"/>
      <c r="G639" s="547"/>
      <c r="H639" s="547"/>
      <c r="I639" s="547"/>
      <c r="J639" s="547"/>
      <c r="K639" s="547"/>
      <c r="L639" s="547"/>
      <c r="M639" s="547"/>
      <c r="N639" s="547"/>
      <c r="O639" s="547"/>
      <c r="P639" s="547"/>
      <c r="Q639" s="547"/>
      <c r="R639" s="547"/>
      <c r="S639" s="547"/>
      <c r="T639" s="547"/>
      <c r="U639" s="547"/>
      <c r="V639" s="547"/>
      <c r="W639" s="547"/>
      <c r="X639" s="547"/>
      <c r="Y639" s="547"/>
      <c r="Z639" s="547"/>
      <c r="AA639" s="547"/>
      <c r="AB639" s="547"/>
      <c r="AC639" s="547"/>
      <c r="AD639" s="547"/>
      <c r="AE639" s="547"/>
      <c r="AF639" s="547"/>
      <c r="AG639" s="547"/>
      <c r="AH639" s="547"/>
      <c r="AI639" s="547"/>
      <c r="AJ639" s="547"/>
      <c r="AK639" s="547"/>
      <c r="AL639" s="547"/>
      <c r="AM639" s="547"/>
      <c r="AN639" s="547"/>
      <c r="AO639" s="547"/>
      <c r="AP639" s="547"/>
      <c r="AQ639" s="547"/>
      <c r="AR639" s="547"/>
      <c r="AS639" s="547"/>
      <c r="AT639" s="547"/>
      <c r="AU639" s="547"/>
      <c r="AV639" s="547"/>
      <c r="AW639" s="547"/>
      <c r="AX639" s="547"/>
      <c r="AY639" s="547"/>
      <c r="AZ639" s="547"/>
      <c r="BA639" s="547"/>
      <c r="BB639" s="547"/>
      <c r="BC639" s="547"/>
      <c r="BD639" s="547"/>
      <c r="BE639" s="547"/>
      <c r="BF639" s="547"/>
      <c r="BG639" s="547"/>
      <c r="BH639" s="547"/>
      <c r="BI639" s="547"/>
      <c r="BJ639" s="547"/>
      <c r="BK639" s="547"/>
      <c r="BL639" s="547"/>
      <c r="BM639" s="547"/>
      <c r="BN639" s="547"/>
      <c r="BO639" s="547"/>
      <c r="BP639" s="547"/>
      <c r="BQ639" s="547"/>
      <c r="BR639" s="547"/>
      <c r="BS639" s="547"/>
      <c r="BT639" s="547"/>
      <c r="BU639" s="547"/>
      <c r="BV639" s="547"/>
      <c r="BW639" s="547"/>
      <c r="BX639" s="547"/>
      <c r="BY639" s="547"/>
      <c r="BZ639" s="547"/>
      <c r="CA639" s="547"/>
      <c r="CB639" s="547"/>
      <c r="CC639" s="547"/>
    </row>
    <row r="640" spans="1:81">
      <c r="A640" s="547"/>
      <c r="B640" s="547"/>
      <c r="C640" s="547"/>
      <c r="D640" s="547"/>
      <c r="E640" s="547"/>
      <c r="F640" s="547"/>
      <c r="G640" s="547"/>
      <c r="H640" s="547"/>
      <c r="I640" s="547"/>
      <c r="J640" s="547"/>
      <c r="K640" s="547"/>
      <c r="L640" s="547"/>
      <c r="M640" s="547"/>
      <c r="N640" s="547"/>
      <c r="O640" s="547"/>
      <c r="P640" s="547"/>
      <c r="Q640" s="547"/>
      <c r="R640" s="547"/>
      <c r="S640" s="547"/>
      <c r="T640" s="547"/>
      <c r="U640" s="547"/>
      <c r="V640" s="547"/>
      <c r="W640" s="547"/>
      <c r="X640" s="547"/>
      <c r="Y640" s="547"/>
      <c r="Z640" s="547"/>
      <c r="AA640" s="547"/>
      <c r="AB640" s="547"/>
      <c r="AC640" s="547"/>
      <c r="AD640" s="547"/>
      <c r="AE640" s="547"/>
      <c r="AF640" s="547"/>
      <c r="AG640" s="547"/>
      <c r="AH640" s="547"/>
      <c r="AI640" s="547"/>
      <c r="AJ640" s="547"/>
      <c r="AK640" s="547"/>
      <c r="AL640" s="547"/>
      <c r="AM640" s="547"/>
      <c r="AN640" s="547"/>
      <c r="AO640" s="547"/>
      <c r="AP640" s="547"/>
      <c r="AQ640" s="547"/>
      <c r="AR640" s="547"/>
      <c r="AS640" s="547"/>
      <c r="AT640" s="547"/>
      <c r="AU640" s="547"/>
      <c r="AV640" s="547"/>
      <c r="AW640" s="547"/>
      <c r="AX640" s="547"/>
      <c r="AY640" s="547"/>
      <c r="AZ640" s="547"/>
      <c r="BA640" s="547"/>
      <c r="BB640" s="547"/>
      <c r="BC640" s="547"/>
      <c r="BD640" s="547"/>
      <c r="BE640" s="547"/>
      <c r="BF640" s="547"/>
      <c r="BG640" s="547"/>
      <c r="BH640" s="547"/>
      <c r="BI640" s="547"/>
      <c r="BJ640" s="547"/>
      <c r="BK640" s="547"/>
      <c r="BL640" s="547"/>
      <c r="BM640" s="547"/>
      <c r="BN640" s="547"/>
      <c r="BO640" s="547"/>
      <c r="BP640" s="547"/>
      <c r="BQ640" s="547"/>
      <c r="BR640" s="547"/>
      <c r="BS640" s="547"/>
      <c r="BT640" s="547"/>
      <c r="BU640" s="547"/>
      <c r="BV640" s="547"/>
      <c r="BW640" s="547"/>
      <c r="BX640" s="547"/>
      <c r="BY640" s="547"/>
      <c r="BZ640" s="547"/>
      <c r="CA640" s="547"/>
      <c r="CB640" s="547"/>
      <c r="CC640" s="547"/>
    </row>
    <row r="641" spans="1:81">
      <c r="A641" s="547"/>
      <c r="B641" s="547"/>
      <c r="C641" s="547"/>
      <c r="D641" s="547"/>
      <c r="E641" s="547"/>
      <c r="F641" s="547"/>
      <c r="G641" s="547"/>
      <c r="H641" s="547"/>
      <c r="I641" s="547"/>
      <c r="J641" s="547"/>
      <c r="K641" s="547"/>
      <c r="L641" s="547"/>
      <c r="M641" s="547"/>
      <c r="N641" s="547"/>
      <c r="O641" s="547"/>
      <c r="P641" s="547"/>
      <c r="Q641" s="547"/>
      <c r="R641" s="547"/>
      <c r="S641" s="547"/>
      <c r="T641" s="547"/>
      <c r="U641" s="547"/>
      <c r="V641" s="547"/>
      <c r="W641" s="547"/>
      <c r="X641" s="547"/>
      <c r="Y641" s="547"/>
      <c r="Z641" s="547"/>
      <c r="AA641" s="547"/>
      <c r="AB641" s="547"/>
      <c r="AC641" s="547"/>
      <c r="AD641" s="547"/>
      <c r="AE641" s="547"/>
      <c r="AF641" s="547"/>
      <c r="AG641" s="547"/>
      <c r="AH641" s="547"/>
      <c r="AI641" s="547"/>
      <c r="AJ641" s="547"/>
      <c r="AK641" s="547"/>
      <c r="AL641" s="547"/>
      <c r="AM641" s="547"/>
      <c r="AN641" s="547"/>
      <c r="AO641" s="547"/>
      <c r="AP641" s="547"/>
      <c r="AQ641" s="547"/>
      <c r="AR641" s="547"/>
      <c r="AS641" s="547"/>
      <c r="AT641" s="547"/>
      <c r="AU641" s="547"/>
      <c r="AV641" s="547"/>
      <c r="AW641" s="547"/>
      <c r="AX641" s="547"/>
      <c r="AY641" s="547"/>
      <c r="AZ641" s="547"/>
      <c r="BA641" s="547"/>
      <c r="BB641" s="547"/>
      <c r="BC641" s="547"/>
      <c r="BD641" s="547"/>
      <c r="BE641" s="547"/>
      <c r="BF641" s="547"/>
      <c r="BG641" s="547"/>
      <c r="BH641" s="547"/>
      <c r="BI641" s="547"/>
      <c r="BJ641" s="547"/>
      <c r="BK641" s="547"/>
      <c r="BL641" s="547"/>
      <c r="BM641" s="547"/>
      <c r="BN641" s="547"/>
      <c r="BO641" s="547"/>
      <c r="BP641" s="547"/>
      <c r="BQ641" s="547"/>
      <c r="BR641" s="547"/>
      <c r="BS641" s="547"/>
      <c r="BT641" s="547"/>
      <c r="BU641" s="547"/>
      <c r="BV641" s="547"/>
      <c r="BW641" s="547"/>
      <c r="BX641" s="547"/>
      <c r="BY641" s="547"/>
      <c r="BZ641" s="547"/>
      <c r="CA641" s="547"/>
      <c r="CB641" s="547"/>
      <c r="CC641" s="547"/>
    </row>
    <row r="642" spans="1:81">
      <c r="A642" s="547"/>
      <c r="B642" s="547"/>
      <c r="C642" s="547"/>
      <c r="D642" s="547"/>
      <c r="E642" s="547"/>
      <c r="F642" s="547"/>
      <c r="G642" s="547"/>
      <c r="H642" s="547"/>
      <c r="I642" s="547"/>
      <c r="J642" s="547"/>
      <c r="K642" s="547"/>
      <c r="L642" s="547"/>
      <c r="M642" s="547"/>
      <c r="N642" s="547"/>
      <c r="O642" s="547"/>
      <c r="P642" s="547"/>
      <c r="Q642" s="547"/>
      <c r="R642" s="547"/>
      <c r="S642" s="547"/>
      <c r="T642" s="547"/>
      <c r="U642" s="547"/>
      <c r="V642" s="547"/>
      <c r="W642" s="547"/>
      <c r="X642" s="547"/>
      <c r="Y642" s="547"/>
      <c r="Z642" s="547"/>
      <c r="AA642" s="547"/>
      <c r="AB642" s="547"/>
      <c r="AC642" s="547"/>
      <c r="AD642" s="547"/>
      <c r="AE642" s="547"/>
      <c r="AF642" s="547"/>
      <c r="AG642" s="547"/>
      <c r="AH642" s="547"/>
      <c r="AI642" s="547"/>
      <c r="AJ642" s="547"/>
      <c r="AK642" s="547"/>
      <c r="AL642" s="547"/>
      <c r="AM642" s="547"/>
      <c r="AN642" s="547"/>
      <c r="AO642" s="547"/>
      <c r="AP642" s="547"/>
      <c r="AQ642" s="547"/>
      <c r="AR642" s="547"/>
      <c r="AS642" s="547"/>
      <c r="AT642" s="547"/>
      <c r="AU642" s="547"/>
      <c r="AV642" s="547"/>
      <c r="AW642" s="547"/>
      <c r="AX642" s="547"/>
      <c r="AY642" s="547"/>
      <c r="AZ642" s="547"/>
      <c r="BA642" s="547"/>
      <c r="BB642" s="547"/>
      <c r="BC642" s="547"/>
      <c r="BD642" s="547"/>
      <c r="BE642" s="547"/>
      <c r="BF642" s="547"/>
      <c r="BG642" s="547"/>
      <c r="BH642" s="547"/>
      <c r="BI642" s="547"/>
      <c r="BJ642" s="547"/>
      <c r="BK642" s="547"/>
      <c r="BL642" s="547"/>
      <c r="BM642" s="547"/>
      <c r="BN642" s="547"/>
      <c r="BO642" s="547"/>
      <c r="BP642" s="547"/>
      <c r="BQ642" s="547"/>
      <c r="BR642" s="547"/>
      <c r="BS642" s="547"/>
      <c r="BT642" s="547"/>
      <c r="BU642" s="547"/>
      <c r="BV642" s="547"/>
      <c r="BW642" s="547"/>
      <c r="BX642" s="547"/>
      <c r="BY642" s="547"/>
      <c r="BZ642" s="547"/>
      <c r="CA642" s="547"/>
      <c r="CB642" s="547"/>
      <c r="CC642" s="547"/>
    </row>
    <row r="643" spans="1:81">
      <c r="A643" s="547"/>
      <c r="B643" s="547"/>
      <c r="C643" s="547"/>
      <c r="D643" s="547"/>
      <c r="E643" s="547"/>
      <c r="F643" s="547"/>
      <c r="G643" s="547"/>
      <c r="H643" s="547"/>
      <c r="I643" s="547"/>
      <c r="J643" s="547"/>
      <c r="K643" s="547"/>
      <c r="L643" s="547"/>
      <c r="M643" s="547"/>
      <c r="N643" s="547"/>
      <c r="O643" s="547"/>
      <c r="P643" s="547"/>
      <c r="Q643" s="547"/>
      <c r="R643" s="547"/>
      <c r="S643" s="547"/>
      <c r="T643" s="547"/>
      <c r="U643" s="547"/>
      <c r="V643" s="547"/>
      <c r="W643" s="547"/>
      <c r="X643" s="547"/>
      <c r="Y643" s="547"/>
      <c r="Z643" s="547"/>
      <c r="AA643" s="547"/>
      <c r="AB643" s="547"/>
      <c r="AC643" s="547"/>
      <c r="AD643" s="547"/>
      <c r="AE643" s="547"/>
      <c r="AF643" s="547"/>
      <c r="AG643" s="547"/>
      <c r="AH643" s="547"/>
      <c r="AI643" s="547"/>
      <c r="AJ643" s="547"/>
      <c r="AK643" s="547"/>
      <c r="AL643" s="547"/>
      <c r="AM643" s="547"/>
      <c r="AN643" s="547"/>
      <c r="AO643" s="547"/>
      <c r="AP643" s="547"/>
      <c r="AQ643" s="547"/>
      <c r="AR643" s="547"/>
      <c r="AS643" s="547"/>
      <c r="AT643" s="547"/>
      <c r="AU643" s="547"/>
      <c r="AV643" s="547"/>
      <c r="AW643" s="547"/>
      <c r="AX643" s="547"/>
      <c r="AY643" s="547"/>
      <c r="AZ643" s="547"/>
      <c r="BA643" s="547"/>
      <c r="BB643" s="547"/>
      <c r="BC643" s="547"/>
      <c r="BD643" s="547"/>
      <c r="BE643" s="547"/>
      <c r="BF643" s="547"/>
      <c r="BG643" s="547"/>
      <c r="BH643" s="547"/>
      <c r="BI643" s="547"/>
      <c r="BJ643" s="547"/>
      <c r="BK643" s="547"/>
      <c r="BL643" s="547"/>
      <c r="BM643" s="547"/>
      <c r="BN643" s="547"/>
      <c r="BO643" s="547"/>
      <c r="BP643" s="547"/>
      <c r="BQ643" s="547"/>
      <c r="BR643" s="547"/>
      <c r="BS643" s="547"/>
      <c r="BT643" s="547"/>
      <c r="BU643" s="547"/>
      <c r="BV643" s="547"/>
      <c r="BW643" s="547"/>
      <c r="BX643" s="547"/>
      <c r="BY643" s="547"/>
      <c r="BZ643" s="547"/>
      <c r="CA643" s="547"/>
      <c r="CB643" s="547"/>
      <c r="CC643" s="547"/>
    </row>
    <row r="644" spans="1:81">
      <c r="A644" s="547"/>
      <c r="B644" s="547"/>
      <c r="C644" s="547"/>
      <c r="D644" s="547"/>
      <c r="E644" s="547"/>
      <c r="F644" s="547"/>
      <c r="G644" s="547"/>
      <c r="H644" s="547"/>
      <c r="I644" s="547"/>
      <c r="J644" s="547"/>
      <c r="K644" s="547"/>
      <c r="L644" s="547"/>
      <c r="M644" s="547"/>
      <c r="N644" s="547"/>
      <c r="O644" s="547"/>
      <c r="P644" s="547"/>
      <c r="Q644" s="547"/>
      <c r="R644" s="547"/>
      <c r="S644" s="547"/>
      <c r="T644" s="547"/>
      <c r="U644" s="547"/>
      <c r="V644" s="547"/>
      <c r="W644" s="547"/>
      <c r="X644" s="547"/>
      <c r="Y644" s="547"/>
      <c r="Z644" s="547"/>
      <c r="AA644" s="547"/>
      <c r="AB644" s="547"/>
      <c r="AC644" s="547"/>
      <c r="AD644" s="547"/>
      <c r="AE644" s="547"/>
      <c r="AF644" s="547"/>
      <c r="AG644" s="547"/>
      <c r="AH644" s="547"/>
      <c r="AI644" s="547"/>
      <c r="AJ644" s="547"/>
      <c r="AK644" s="547"/>
      <c r="AL644" s="547"/>
      <c r="AM644" s="547"/>
      <c r="AN644" s="547"/>
      <c r="AO644" s="547"/>
      <c r="AP644" s="547"/>
      <c r="AQ644" s="547"/>
      <c r="AR644" s="547"/>
      <c r="AS644" s="547"/>
      <c r="AT644" s="547"/>
      <c r="AU644" s="547"/>
      <c r="AV644" s="547"/>
      <c r="AW644" s="547"/>
      <c r="AX644" s="547"/>
      <c r="AY644" s="547"/>
      <c r="AZ644" s="547"/>
      <c r="BA644" s="547"/>
      <c r="BB644" s="547"/>
      <c r="BC644" s="547"/>
      <c r="BD644" s="547"/>
      <c r="BE644" s="547"/>
      <c r="BF644" s="547"/>
      <c r="BG644" s="547"/>
      <c r="BH644" s="547"/>
      <c r="BI644" s="547"/>
      <c r="BJ644" s="547"/>
      <c r="BK644" s="547"/>
      <c r="BL644" s="547"/>
      <c r="BM644" s="547"/>
      <c r="BN644" s="547"/>
      <c r="BO644" s="547"/>
      <c r="BP644" s="547"/>
      <c r="BQ644" s="547"/>
      <c r="BR644" s="547"/>
      <c r="BS644" s="547"/>
      <c r="BT644" s="547"/>
      <c r="BU644" s="547"/>
      <c r="BV644" s="547"/>
      <c r="BW644" s="547"/>
      <c r="BX644" s="547"/>
      <c r="BY644" s="547"/>
      <c r="BZ644" s="547"/>
      <c r="CA644" s="547"/>
      <c r="CB644" s="547"/>
      <c r="CC644" s="547"/>
    </row>
    <row r="645" spans="1:81">
      <c r="A645" s="547"/>
      <c r="B645" s="547"/>
      <c r="C645" s="547"/>
      <c r="D645" s="547"/>
      <c r="E645" s="547"/>
      <c r="F645" s="547"/>
      <c r="G645" s="547"/>
      <c r="H645" s="547"/>
      <c r="I645" s="547"/>
      <c r="J645" s="547"/>
      <c r="K645" s="547"/>
      <c r="L645" s="547"/>
      <c r="M645" s="547"/>
      <c r="N645" s="547"/>
      <c r="O645" s="547"/>
      <c r="P645" s="547"/>
      <c r="Q645" s="547"/>
      <c r="R645" s="547"/>
      <c r="S645" s="547"/>
      <c r="T645" s="547"/>
      <c r="U645" s="547"/>
      <c r="V645" s="547"/>
      <c r="W645" s="547"/>
      <c r="X645" s="547"/>
      <c r="Y645" s="547"/>
      <c r="Z645" s="547"/>
      <c r="AA645" s="547"/>
      <c r="AB645" s="547"/>
      <c r="AC645" s="547"/>
      <c r="AD645" s="547"/>
      <c r="AE645" s="547"/>
      <c r="AF645" s="547"/>
      <c r="AG645" s="547"/>
      <c r="AH645" s="547"/>
      <c r="AI645" s="547"/>
      <c r="AJ645" s="547"/>
      <c r="AK645" s="547"/>
      <c r="AL645" s="547"/>
      <c r="AM645" s="547"/>
      <c r="AN645" s="547"/>
      <c r="AO645" s="547"/>
      <c r="AP645" s="547"/>
      <c r="AQ645" s="547"/>
      <c r="AR645" s="547"/>
      <c r="AS645" s="547"/>
      <c r="AT645" s="547"/>
      <c r="AU645" s="547"/>
      <c r="AV645" s="547"/>
      <c r="AW645" s="547"/>
      <c r="AX645" s="547"/>
      <c r="AY645" s="547"/>
      <c r="AZ645" s="547"/>
      <c r="BA645" s="547"/>
      <c r="BB645" s="547"/>
      <c r="BC645" s="547"/>
      <c r="BD645" s="547"/>
      <c r="BE645" s="547"/>
      <c r="BF645" s="547"/>
      <c r="BG645" s="547"/>
      <c r="BH645" s="547"/>
      <c r="BI645" s="547"/>
      <c r="BJ645" s="547"/>
      <c r="BK645" s="547"/>
      <c r="BL645" s="547"/>
      <c r="BM645" s="547"/>
      <c r="BN645" s="547"/>
      <c r="BO645" s="547"/>
      <c r="BP645" s="547"/>
      <c r="BQ645" s="547"/>
      <c r="BR645" s="547"/>
      <c r="BS645" s="547"/>
      <c r="BT645" s="547"/>
      <c r="BU645" s="547"/>
      <c r="BV645" s="547"/>
      <c r="BW645" s="547"/>
      <c r="BX645" s="547"/>
      <c r="BY645" s="547"/>
      <c r="BZ645" s="547"/>
      <c r="CA645" s="547"/>
      <c r="CB645" s="547"/>
      <c r="CC645" s="547"/>
    </row>
    <row r="646" spans="1:81">
      <c r="A646" s="547"/>
      <c r="B646" s="547"/>
      <c r="C646" s="547"/>
      <c r="D646" s="547"/>
      <c r="E646" s="547"/>
      <c r="F646" s="547"/>
      <c r="G646" s="547"/>
      <c r="H646" s="547"/>
      <c r="I646" s="547"/>
      <c r="J646" s="547"/>
      <c r="K646" s="547"/>
      <c r="L646" s="547"/>
      <c r="M646" s="547"/>
      <c r="N646" s="547"/>
      <c r="O646" s="547"/>
      <c r="P646" s="547"/>
      <c r="Q646" s="547"/>
      <c r="R646" s="547"/>
      <c r="S646" s="547"/>
      <c r="T646" s="547"/>
      <c r="U646" s="547"/>
      <c r="V646" s="547"/>
      <c r="W646" s="547"/>
      <c r="X646" s="547"/>
      <c r="Y646" s="547"/>
      <c r="Z646" s="547"/>
      <c r="AA646" s="547"/>
      <c r="AB646" s="547"/>
      <c r="AC646" s="547"/>
      <c r="AD646" s="547"/>
      <c r="AE646" s="547"/>
      <c r="AF646" s="547"/>
      <c r="AG646" s="547"/>
      <c r="AH646" s="547"/>
      <c r="AI646" s="547"/>
      <c r="AJ646" s="547"/>
      <c r="AK646" s="547"/>
      <c r="AL646" s="547"/>
      <c r="AM646" s="547"/>
      <c r="AN646" s="547"/>
      <c r="AO646" s="547"/>
      <c r="AP646" s="547"/>
      <c r="AQ646" s="547"/>
      <c r="AR646" s="547"/>
      <c r="AS646" s="547"/>
      <c r="AT646" s="547"/>
      <c r="AU646" s="547"/>
      <c r="AV646" s="547"/>
      <c r="AW646" s="547"/>
      <c r="AX646" s="547"/>
      <c r="AY646" s="547"/>
      <c r="AZ646" s="547"/>
      <c r="BA646" s="547"/>
      <c r="BB646" s="547"/>
      <c r="BC646" s="547"/>
      <c r="BD646" s="547"/>
      <c r="BE646" s="547"/>
      <c r="BF646" s="547"/>
      <c r="BG646" s="547"/>
      <c r="BH646" s="547"/>
      <c r="BI646" s="547"/>
      <c r="BJ646" s="547"/>
      <c r="BK646" s="547"/>
      <c r="BL646" s="547"/>
      <c r="BM646" s="547"/>
      <c r="BN646" s="547"/>
      <c r="BO646" s="547"/>
      <c r="BP646" s="547"/>
      <c r="BQ646" s="547"/>
      <c r="BR646" s="547"/>
      <c r="BS646" s="547"/>
      <c r="BT646" s="547"/>
      <c r="BU646" s="547"/>
      <c r="BV646" s="547"/>
      <c r="BW646" s="547"/>
      <c r="BX646" s="547"/>
      <c r="BY646" s="547"/>
      <c r="BZ646" s="547"/>
      <c r="CA646" s="547"/>
      <c r="CB646" s="547"/>
      <c r="CC646" s="547"/>
    </row>
    <row r="647" spans="1:81">
      <c r="A647" s="547"/>
      <c r="B647" s="547"/>
      <c r="C647" s="547"/>
      <c r="D647" s="547"/>
      <c r="E647" s="547"/>
      <c r="F647" s="547"/>
      <c r="G647" s="547"/>
      <c r="H647" s="547"/>
      <c r="I647" s="547"/>
      <c r="J647" s="547"/>
      <c r="K647" s="547"/>
      <c r="L647" s="547"/>
      <c r="M647" s="547"/>
      <c r="N647" s="547"/>
      <c r="O647" s="547"/>
      <c r="P647" s="547"/>
      <c r="Q647" s="547"/>
      <c r="R647" s="547"/>
      <c r="S647" s="547"/>
      <c r="T647" s="547"/>
      <c r="U647" s="547"/>
      <c r="V647" s="547"/>
      <c r="W647" s="547"/>
      <c r="X647" s="547"/>
      <c r="Y647" s="547"/>
      <c r="Z647" s="547"/>
      <c r="AA647" s="547"/>
      <c r="AB647" s="547"/>
      <c r="AC647" s="547"/>
      <c r="AD647" s="547"/>
      <c r="AE647" s="547"/>
      <c r="AF647" s="547"/>
      <c r="AG647" s="547"/>
      <c r="AH647" s="547"/>
      <c r="AI647" s="547"/>
      <c r="AJ647" s="547"/>
      <c r="AK647" s="547"/>
      <c r="AL647" s="547"/>
      <c r="AM647" s="547"/>
      <c r="AN647" s="547"/>
      <c r="AO647" s="547"/>
      <c r="AP647" s="547"/>
      <c r="AQ647" s="547"/>
      <c r="AR647" s="547"/>
      <c r="AS647" s="547"/>
      <c r="AT647" s="547"/>
      <c r="AU647" s="547"/>
      <c r="AV647" s="547"/>
      <c r="AW647" s="547"/>
      <c r="AX647" s="547"/>
      <c r="AY647" s="547"/>
      <c r="AZ647" s="547"/>
      <c r="BA647" s="547"/>
      <c r="BB647" s="547"/>
      <c r="BC647" s="547"/>
      <c r="BD647" s="547"/>
      <c r="BE647" s="547"/>
      <c r="BF647" s="547"/>
      <c r="BG647" s="547"/>
      <c r="BH647" s="547"/>
      <c r="BI647" s="547"/>
      <c r="BJ647" s="547"/>
      <c r="BK647" s="547"/>
      <c r="BL647" s="547"/>
      <c r="BM647" s="547"/>
      <c r="BN647" s="547"/>
      <c r="BO647" s="547"/>
      <c r="BP647" s="547"/>
      <c r="BQ647" s="547"/>
      <c r="BR647" s="547"/>
      <c r="BS647" s="547"/>
      <c r="BT647" s="547"/>
      <c r="BU647" s="547"/>
      <c r="BV647" s="547"/>
      <c r="BW647" s="547"/>
      <c r="BX647" s="547"/>
      <c r="BY647" s="547"/>
      <c r="BZ647" s="547"/>
      <c r="CA647" s="547"/>
      <c r="CB647" s="547"/>
      <c r="CC647" s="547"/>
    </row>
    <row r="648" spans="1:81">
      <c r="A648" s="547"/>
      <c r="B648" s="547"/>
      <c r="C648" s="547"/>
      <c r="D648" s="547"/>
      <c r="E648" s="547"/>
      <c r="F648" s="547"/>
      <c r="G648" s="547"/>
      <c r="H648" s="547"/>
      <c r="I648" s="547"/>
      <c r="J648" s="547"/>
      <c r="K648" s="547"/>
      <c r="L648" s="547"/>
      <c r="M648" s="547"/>
      <c r="N648" s="547"/>
      <c r="O648" s="547"/>
      <c r="P648" s="547"/>
      <c r="Q648" s="547"/>
      <c r="R648" s="547"/>
      <c r="S648" s="547"/>
      <c r="T648" s="547"/>
      <c r="U648" s="547"/>
      <c r="V648" s="547"/>
      <c r="W648" s="547"/>
      <c r="X648" s="547"/>
      <c r="Y648" s="547"/>
      <c r="Z648" s="547"/>
      <c r="AA648" s="547"/>
      <c r="AB648" s="547"/>
      <c r="AC648" s="547"/>
      <c r="AD648" s="547"/>
      <c r="AE648" s="547"/>
      <c r="AF648" s="547"/>
      <c r="AG648" s="547"/>
      <c r="AH648" s="547"/>
      <c r="AI648" s="547"/>
      <c r="AJ648" s="547"/>
      <c r="AK648" s="547"/>
      <c r="AL648" s="547"/>
      <c r="AM648" s="547"/>
      <c r="AN648" s="547"/>
      <c r="AO648" s="547"/>
      <c r="AP648" s="547"/>
      <c r="AQ648" s="547"/>
      <c r="AR648" s="547"/>
      <c r="AS648" s="547"/>
      <c r="AT648" s="547"/>
      <c r="AU648" s="547"/>
      <c r="AV648" s="547"/>
      <c r="AW648" s="547"/>
      <c r="AX648" s="547"/>
      <c r="AY648" s="547"/>
      <c r="AZ648" s="547"/>
      <c r="BA648" s="547"/>
      <c r="BB648" s="547"/>
      <c r="BC648" s="547"/>
      <c r="BD648" s="547"/>
      <c r="BE648" s="547"/>
      <c r="BF648" s="547"/>
      <c r="BG648" s="547"/>
      <c r="BH648" s="547"/>
      <c r="BI648" s="547"/>
      <c r="BJ648" s="547"/>
      <c r="BK648" s="547"/>
      <c r="BL648" s="547"/>
      <c r="BM648" s="547"/>
      <c r="BN648" s="547"/>
      <c r="BO648" s="547"/>
      <c r="BP648" s="547"/>
      <c r="BQ648" s="547"/>
      <c r="BR648" s="547"/>
      <c r="BS648" s="547"/>
      <c r="BT648" s="547"/>
      <c r="BU648" s="547"/>
      <c r="BV648" s="547"/>
      <c r="BW648" s="547"/>
      <c r="BX648" s="547"/>
      <c r="BY648" s="547"/>
      <c r="BZ648" s="547"/>
      <c r="CA648" s="547"/>
      <c r="CB648" s="547"/>
      <c r="CC648" s="547"/>
    </row>
    <row r="649" spans="1:81">
      <c r="A649" s="547"/>
      <c r="B649" s="547"/>
      <c r="C649" s="547"/>
      <c r="D649" s="547"/>
      <c r="E649" s="547"/>
      <c r="F649" s="547"/>
      <c r="G649" s="547"/>
      <c r="H649" s="547"/>
      <c r="I649" s="547"/>
      <c r="J649" s="547"/>
      <c r="K649" s="547"/>
      <c r="L649" s="547"/>
      <c r="M649" s="547"/>
      <c r="N649" s="547"/>
      <c r="O649" s="547"/>
      <c r="P649" s="547"/>
      <c r="Q649" s="547"/>
      <c r="R649" s="547"/>
      <c r="S649" s="547"/>
      <c r="T649" s="547"/>
      <c r="U649" s="547"/>
      <c r="V649" s="547"/>
      <c r="W649" s="547"/>
      <c r="X649" s="547"/>
      <c r="Y649" s="547"/>
      <c r="Z649" s="547"/>
      <c r="AA649" s="547"/>
      <c r="AB649" s="547"/>
      <c r="AC649" s="547"/>
      <c r="AD649" s="547"/>
      <c r="AE649" s="547"/>
      <c r="AF649" s="547"/>
      <c r="AG649" s="547"/>
      <c r="AH649" s="547"/>
      <c r="AI649" s="547"/>
      <c r="AJ649" s="547"/>
      <c r="AK649" s="547"/>
      <c r="AL649" s="547"/>
      <c r="AM649" s="547"/>
      <c r="AN649" s="547"/>
      <c r="AO649" s="547"/>
      <c r="AP649" s="547"/>
      <c r="AQ649" s="547"/>
      <c r="AR649" s="547"/>
      <c r="AS649" s="547"/>
      <c r="AT649" s="547"/>
      <c r="AU649" s="547"/>
      <c r="AV649" s="547"/>
      <c r="AW649" s="547"/>
      <c r="AX649" s="547"/>
      <c r="AY649" s="547"/>
      <c r="AZ649" s="547"/>
      <c r="BA649" s="547"/>
      <c r="BB649" s="547"/>
      <c r="BC649" s="547"/>
      <c r="BD649" s="547"/>
      <c r="BE649" s="547"/>
      <c r="BF649" s="547"/>
      <c r="BG649" s="547"/>
      <c r="BH649" s="547"/>
      <c r="BI649" s="547"/>
      <c r="BJ649" s="547"/>
      <c r="BK649" s="547"/>
      <c r="BL649" s="547"/>
      <c r="BM649" s="547"/>
      <c r="BN649" s="547"/>
      <c r="BO649" s="547"/>
      <c r="BP649" s="547"/>
      <c r="BQ649" s="547"/>
      <c r="BR649" s="547"/>
      <c r="BS649" s="547"/>
      <c r="BT649" s="547"/>
      <c r="BU649" s="547"/>
      <c r="BV649" s="547"/>
      <c r="BW649" s="547"/>
      <c r="BX649" s="547"/>
      <c r="BY649" s="547"/>
      <c r="BZ649" s="547"/>
      <c r="CA649" s="547"/>
      <c r="CB649" s="547"/>
      <c r="CC649" s="547"/>
    </row>
    <row r="650" spans="1:81">
      <c r="A650" s="547"/>
      <c r="B650" s="547"/>
      <c r="C650" s="547"/>
      <c r="D650" s="547"/>
      <c r="E650" s="547"/>
      <c r="F650" s="547"/>
      <c r="G650" s="547"/>
      <c r="H650" s="547"/>
      <c r="I650" s="547"/>
      <c r="J650" s="547"/>
      <c r="K650" s="547"/>
      <c r="L650" s="547"/>
      <c r="M650" s="547"/>
      <c r="N650" s="547"/>
      <c r="O650" s="547"/>
      <c r="P650" s="547"/>
      <c r="Q650" s="547"/>
      <c r="R650" s="547"/>
      <c r="S650" s="547"/>
      <c r="T650" s="547"/>
      <c r="U650" s="547"/>
      <c r="V650" s="547"/>
      <c r="W650" s="547"/>
      <c r="X650" s="547"/>
      <c r="Y650" s="547"/>
      <c r="Z650" s="547"/>
      <c r="AA650" s="547"/>
      <c r="AB650" s="547"/>
      <c r="AC650" s="547"/>
      <c r="AD650" s="547"/>
      <c r="AE650" s="547"/>
      <c r="AF650" s="547"/>
      <c r="AG650" s="547"/>
      <c r="AH650" s="547"/>
      <c r="AI650" s="547"/>
      <c r="AJ650" s="547"/>
      <c r="AK650" s="547"/>
      <c r="AL650" s="547"/>
      <c r="AM650" s="547"/>
      <c r="AN650" s="547"/>
      <c r="AO650" s="547"/>
      <c r="AP650" s="547"/>
      <c r="AQ650" s="547"/>
      <c r="AR650" s="547"/>
      <c r="AS650" s="547"/>
      <c r="AT650" s="547"/>
      <c r="AU650" s="547"/>
      <c r="AV650" s="547"/>
      <c r="AW650" s="547"/>
      <c r="AX650" s="547"/>
      <c r="AY650" s="547"/>
      <c r="AZ650" s="547"/>
      <c r="BA650" s="547"/>
      <c r="BB650" s="547"/>
      <c r="BC650" s="547"/>
      <c r="BD650" s="547"/>
      <c r="BE650" s="547"/>
      <c r="BF650" s="547"/>
      <c r="BG650" s="547"/>
      <c r="BH650" s="547"/>
      <c r="BI650" s="547"/>
      <c r="BJ650" s="547"/>
      <c r="BK650" s="547"/>
      <c r="BL650" s="547"/>
      <c r="BM650" s="547"/>
      <c r="BN650" s="547"/>
      <c r="BO650" s="547"/>
      <c r="BP650" s="547"/>
      <c r="BQ650" s="547"/>
      <c r="BR650" s="547"/>
      <c r="BS650" s="547"/>
      <c r="BT650" s="547"/>
      <c r="BU650" s="547"/>
      <c r="BV650" s="547"/>
      <c r="BW650" s="547"/>
      <c r="BX650" s="547"/>
      <c r="BY650" s="547"/>
      <c r="BZ650" s="547"/>
      <c r="CA650" s="547"/>
      <c r="CB650" s="547"/>
      <c r="CC650" s="547"/>
    </row>
    <row r="651" spans="1:81">
      <c r="A651" s="547"/>
      <c r="B651" s="547"/>
      <c r="C651" s="547"/>
      <c r="D651" s="547"/>
      <c r="E651" s="547"/>
      <c r="F651" s="547"/>
      <c r="G651" s="547"/>
      <c r="H651" s="547"/>
      <c r="I651" s="547"/>
      <c r="J651" s="547"/>
      <c r="K651" s="547"/>
      <c r="L651" s="547"/>
      <c r="M651" s="547"/>
      <c r="N651" s="547"/>
      <c r="O651" s="547"/>
      <c r="P651" s="547"/>
      <c r="Q651" s="547"/>
      <c r="R651" s="547"/>
      <c r="S651" s="547"/>
      <c r="T651" s="547"/>
      <c r="U651" s="547"/>
      <c r="V651" s="547"/>
      <c r="W651" s="547"/>
      <c r="X651" s="547"/>
      <c r="Y651" s="547"/>
      <c r="Z651" s="547"/>
      <c r="AA651" s="547"/>
      <c r="AB651" s="547"/>
      <c r="AC651" s="547"/>
      <c r="AD651" s="547"/>
      <c r="AE651" s="547"/>
      <c r="AF651" s="547"/>
      <c r="AG651" s="547"/>
      <c r="AH651" s="547"/>
      <c r="AI651" s="547"/>
      <c r="AJ651" s="547"/>
      <c r="AK651" s="547"/>
      <c r="AL651" s="547"/>
      <c r="AM651" s="547"/>
      <c r="AN651" s="547"/>
      <c r="AO651" s="547"/>
      <c r="AP651" s="547"/>
      <c r="AQ651" s="547"/>
      <c r="AR651" s="547"/>
      <c r="AS651" s="547"/>
      <c r="AT651" s="547"/>
      <c r="AU651" s="547"/>
      <c r="AV651" s="547"/>
      <c r="AW651" s="547"/>
      <c r="AX651" s="547"/>
      <c r="AY651" s="547"/>
      <c r="AZ651" s="547"/>
      <c r="BA651" s="547"/>
      <c r="BB651" s="547"/>
      <c r="BC651" s="547"/>
      <c r="BD651" s="547"/>
      <c r="BE651" s="547"/>
      <c r="BF651" s="547"/>
      <c r="BG651" s="547"/>
      <c r="BH651" s="547"/>
      <c r="BI651" s="547"/>
      <c r="BJ651" s="547"/>
      <c r="BK651" s="547"/>
      <c r="BL651" s="547"/>
      <c r="BM651" s="547"/>
      <c r="BN651" s="547"/>
      <c r="BO651" s="547"/>
      <c r="BP651" s="547"/>
      <c r="BQ651" s="547"/>
      <c r="BR651" s="547"/>
      <c r="BS651" s="547"/>
      <c r="BT651" s="547"/>
      <c r="BU651" s="547"/>
      <c r="BV651" s="547"/>
      <c r="BW651" s="547"/>
      <c r="BX651" s="547"/>
      <c r="BY651" s="547"/>
      <c r="BZ651" s="547"/>
      <c r="CA651" s="547"/>
      <c r="CB651" s="547"/>
      <c r="CC651" s="547"/>
    </row>
    <row r="652" spans="1:81">
      <c r="A652" s="547"/>
      <c r="B652" s="547"/>
      <c r="C652" s="547"/>
      <c r="D652" s="547"/>
      <c r="E652" s="547"/>
      <c r="F652" s="547"/>
      <c r="G652" s="547"/>
      <c r="H652" s="547"/>
      <c r="I652" s="547"/>
      <c r="J652" s="547"/>
      <c r="K652" s="547"/>
      <c r="L652" s="547"/>
      <c r="M652" s="547"/>
      <c r="N652" s="547"/>
      <c r="O652" s="547"/>
      <c r="P652" s="547"/>
      <c r="Q652" s="547"/>
      <c r="R652" s="547"/>
      <c r="S652" s="547"/>
      <c r="T652" s="547"/>
      <c r="U652" s="547"/>
      <c r="V652" s="547"/>
      <c r="W652" s="547"/>
      <c r="X652" s="547"/>
      <c r="Y652" s="547"/>
      <c r="Z652" s="547"/>
      <c r="AA652" s="547"/>
      <c r="AB652" s="547"/>
      <c r="AC652" s="547"/>
      <c r="AD652" s="547"/>
      <c r="AE652" s="547"/>
      <c r="AF652" s="547"/>
      <c r="AG652" s="547"/>
      <c r="AH652" s="547"/>
      <c r="AI652" s="547"/>
      <c r="AJ652" s="547"/>
      <c r="AK652" s="547"/>
      <c r="AL652" s="547"/>
      <c r="AM652" s="547"/>
      <c r="AN652" s="547"/>
      <c r="AO652" s="547"/>
      <c r="AP652" s="547"/>
      <c r="AQ652" s="547"/>
      <c r="AR652" s="547"/>
      <c r="AS652" s="547"/>
      <c r="AT652" s="547"/>
      <c r="AU652" s="547"/>
      <c r="AV652" s="547"/>
      <c r="AW652" s="547"/>
      <c r="AX652" s="547"/>
      <c r="AY652" s="547"/>
      <c r="AZ652" s="547"/>
      <c r="BA652" s="547"/>
      <c r="BB652" s="547"/>
      <c r="BC652" s="547"/>
      <c r="BD652" s="547"/>
      <c r="BE652" s="547"/>
      <c r="BF652" s="547"/>
      <c r="BG652" s="547"/>
      <c r="BH652" s="547"/>
      <c r="BI652" s="547"/>
      <c r="BJ652" s="547"/>
      <c r="BK652" s="547"/>
      <c r="BL652" s="547"/>
      <c r="BM652" s="547"/>
      <c r="BN652" s="547"/>
      <c r="BO652" s="547"/>
      <c r="BP652" s="547"/>
      <c r="BQ652" s="547"/>
      <c r="BR652" s="547"/>
      <c r="BS652" s="547"/>
      <c r="BT652" s="547"/>
      <c r="BU652" s="547"/>
      <c r="BV652" s="547"/>
      <c r="BW652" s="547"/>
      <c r="BX652" s="547"/>
      <c r="BY652" s="547"/>
      <c r="BZ652" s="547"/>
      <c r="CA652" s="547"/>
      <c r="CB652" s="547"/>
      <c r="CC652" s="547"/>
    </row>
    <row r="653" spans="1:81">
      <c r="A653" s="547"/>
      <c r="B653" s="547"/>
      <c r="C653" s="547"/>
      <c r="D653" s="547"/>
      <c r="E653" s="547"/>
      <c r="F653" s="547"/>
      <c r="G653" s="547"/>
      <c r="H653" s="547"/>
      <c r="I653" s="547"/>
      <c r="J653" s="547"/>
      <c r="K653" s="547"/>
      <c r="L653" s="547"/>
      <c r="M653" s="547"/>
      <c r="N653" s="547"/>
      <c r="O653" s="547"/>
      <c r="P653" s="547"/>
      <c r="Q653" s="547"/>
      <c r="R653" s="547"/>
      <c r="S653" s="547"/>
      <c r="T653" s="547"/>
      <c r="U653" s="547"/>
      <c r="V653" s="547"/>
      <c r="W653" s="547"/>
      <c r="X653" s="547"/>
      <c r="Y653" s="547"/>
      <c r="Z653" s="547"/>
      <c r="AA653" s="547"/>
      <c r="AB653" s="547"/>
      <c r="AC653" s="547"/>
      <c r="AD653" s="547"/>
      <c r="AE653" s="547"/>
      <c r="AF653" s="547"/>
      <c r="AG653" s="547"/>
      <c r="AH653" s="547"/>
      <c r="AI653" s="547"/>
      <c r="AJ653" s="547"/>
      <c r="AK653" s="547"/>
      <c r="AL653" s="547"/>
      <c r="AM653" s="547"/>
      <c r="AN653" s="547"/>
      <c r="AO653" s="547"/>
      <c r="AP653" s="547"/>
      <c r="AQ653" s="547"/>
      <c r="AR653" s="547"/>
      <c r="AS653" s="547"/>
      <c r="AT653" s="547"/>
      <c r="AU653" s="547"/>
      <c r="AV653" s="547"/>
      <c r="AW653" s="547"/>
      <c r="AX653" s="547"/>
      <c r="AY653" s="547"/>
      <c r="AZ653" s="547"/>
      <c r="BA653" s="547"/>
      <c r="BB653" s="547"/>
      <c r="BC653" s="547"/>
      <c r="BD653" s="547"/>
      <c r="BE653" s="547"/>
      <c r="BF653" s="547"/>
      <c r="BG653" s="547"/>
      <c r="BH653" s="547"/>
      <c r="BI653" s="547"/>
      <c r="BJ653" s="547"/>
      <c r="BK653" s="547"/>
      <c r="BL653" s="547"/>
      <c r="BM653" s="547"/>
      <c r="BN653" s="547"/>
      <c r="BO653" s="547"/>
      <c r="BP653" s="547"/>
      <c r="BQ653" s="547"/>
      <c r="BR653" s="547"/>
      <c r="BS653" s="547"/>
      <c r="BT653" s="547"/>
      <c r="BU653" s="547"/>
      <c r="BV653" s="547"/>
      <c r="BW653" s="547"/>
      <c r="BX653" s="547"/>
      <c r="BY653" s="547"/>
      <c r="BZ653" s="547"/>
      <c r="CA653" s="547"/>
      <c r="CB653" s="547"/>
      <c r="CC653" s="547"/>
    </row>
    <row r="654" spans="1:81">
      <c r="A654" s="547"/>
      <c r="B654" s="547"/>
      <c r="C654" s="547"/>
      <c r="D654" s="547"/>
      <c r="E654" s="547"/>
      <c r="F654" s="547"/>
      <c r="G654" s="547"/>
      <c r="H654" s="547"/>
      <c r="I654" s="547"/>
      <c r="J654" s="547"/>
      <c r="K654" s="547"/>
      <c r="L654" s="547"/>
      <c r="M654" s="547"/>
      <c r="N654" s="547"/>
      <c r="O654" s="547"/>
      <c r="P654" s="547"/>
      <c r="Q654" s="547"/>
      <c r="R654" s="547"/>
      <c r="S654" s="547"/>
      <c r="T654" s="547"/>
      <c r="U654" s="547"/>
      <c r="V654" s="547"/>
      <c r="W654" s="547"/>
      <c r="X654" s="547"/>
      <c r="Y654" s="547"/>
      <c r="Z654" s="547"/>
      <c r="AA654" s="547"/>
      <c r="AB654" s="547"/>
      <c r="AC654" s="547"/>
      <c r="AD654" s="547"/>
      <c r="AE654" s="547"/>
      <c r="AF654" s="547"/>
      <c r="AG654" s="547"/>
      <c r="AH654" s="547"/>
      <c r="AI654" s="547"/>
      <c r="AJ654" s="547"/>
      <c r="AK654" s="547"/>
      <c r="AL654" s="547"/>
      <c r="AM654" s="547"/>
      <c r="AN654" s="547"/>
      <c r="AO654" s="547"/>
      <c r="AP654" s="547"/>
      <c r="AQ654" s="547"/>
      <c r="AR654" s="547"/>
      <c r="AS654" s="547"/>
      <c r="AT654" s="547"/>
      <c r="AU654" s="547"/>
      <c r="AV654" s="547"/>
      <c r="AW654" s="547"/>
      <c r="AX654" s="547"/>
      <c r="AY654" s="547"/>
      <c r="AZ654" s="547"/>
      <c r="BA654" s="547"/>
      <c r="BB654" s="547"/>
      <c r="BC654" s="547"/>
      <c r="BD654" s="547"/>
      <c r="BE654" s="547"/>
      <c r="BF654" s="547"/>
      <c r="BG654" s="547"/>
      <c r="BH654" s="547"/>
      <c r="BI654" s="547"/>
      <c r="BJ654" s="547"/>
      <c r="BK654" s="547"/>
      <c r="BL654" s="547"/>
      <c r="BM654" s="547"/>
      <c r="BN654" s="547"/>
      <c r="BO654" s="547"/>
      <c r="BP654" s="547"/>
      <c r="BQ654" s="547"/>
      <c r="BR654" s="547"/>
      <c r="BS654" s="547"/>
      <c r="BT654" s="547"/>
      <c r="BU654" s="547"/>
      <c r="BV654" s="547"/>
      <c r="BW654" s="547"/>
      <c r="BX654" s="547"/>
      <c r="BY654" s="547"/>
      <c r="BZ654" s="547"/>
      <c r="CA654" s="547"/>
      <c r="CB654" s="547"/>
      <c r="CC654" s="547"/>
    </row>
    <row r="655" spans="1:81">
      <c r="A655" s="547"/>
      <c r="B655" s="547"/>
      <c r="C655" s="547"/>
      <c r="D655" s="547"/>
      <c r="E655" s="547"/>
      <c r="F655" s="547"/>
      <c r="G655" s="547"/>
      <c r="H655" s="547"/>
      <c r="I655" s="547"/>
      <c r="J655" s="547"/>
      <c r="K655" s="547"/>
      <c r="L655" s="547"/>
      <c r="M655" s="547"/>
      <c r="N655" s="547"/>
      <c r="O655" s="547"/>
      <c r="P655" s="547"/>
      <c r="Q655" s="547"/>
      <c r="R655" s="547"/>
      <c r="S655" s="547"/>
      <c r="T655" s="547"/>
      <c r="U655" s="547"/>
      <c r="V655" s="547"/>
      <c r="W655" s="547"/>
      <c r="X655" s="547"/>
      <c r="Y655" s="547"/>
      <c r="Z655" s="547"/>
      <c r="AA655" s="547"/>
      <c r="AB655" s="547"/>
      <c r="AC655" s="547"/>
      <c r="AD655" s="547"/>
      <c r="AE655" s="547"/>
      <c r="AF655" s="547"/>
      <c r="AG655" s="547"/>
      <c r="AH655" s="547"/>
      <c r="AI655" s="547"/>
      <c r="AJ655" s="547"/>
      <c r="AK655" s="547"/>
      <c r="AL655" s="547"/>
      <c r="AM655" s="547"/>
      <c r="AN655" s="547"/>
      <c r="AO655" s="547"/>
      <c r="AP655" s="547"/>
      <c r="AQ655" s="547"/>
      <c r="AR655" s="547"/>
      <c r="AS655" s="547"/>
      <c r="AT655" s="547"/>
      <c r="AU655" s="547"/>
      <c r="AV655" s="547"/>
      <c r="AW655" s="547"/>
      <c r="AX655" s="547"/>
      <c r="AY655" s="547"/>
      <c r="AZ655" s="547"/>
      <c r="BA655" s="547"/>
      <c r="BB655" s="547"/>
      <c r="BC655" s="547"/>
      <c r="BD655" s="547"/>
      <c r="BE655" s="547"/>
      <c r="BF655" s="547"/>
      <c r="BG655" s="547"/>
      <c r="BH655" s="547"/>
      <c r="BI655" s="547"/>
      <c r="BJ655" s="547"/>
      <c r="BK655" s="547"/>
      <c r="BL655" s="547"/>
      <c r="BM655" s="547"/>
      <c r="BN655" s="547"/>
      <c r="BO655" s="547"/>
      <c r="BP655" s="547"/>
      <c r="BQ655" s="547"/>
      <c r="BR655" s="547"/>
      <c r="BS655" s="547"/>
      <c r="BT655" s="547"/>
      <c r="BU655" s="547"/>
      <c r="BV655" s="547"/>
      <c r="BW655" s="547"/>
      <c r="BX655" s="547"/>
      <c r="BY655" s="547"/>
      <c r="BZ655" s="547"/>
      <c r="CA655" s="547"/>
      <c r="CB655" s="547"/>
      <c r="CC655" s="547"/>
    </row>
    <row r="656" spans="1:81">
      <c r="A656" s="547"/>
      <c r="B656" s="547"/>
      <c r="C656" s="547"/>
      <c r="D656" s="547"/>
      <c r="E656" s="547"/>
      <c r="F656" s="547"/>
      <c r="G656" s="547"/>
      <c r="H656" s="547"/>
      <c r="I656" s="547"/>
      <c r="J656" s="547"/>
      <c r="K656" s="547"/>
      <c r="L656" s="547"/>
      <c r="M656" s="547"/>
      <c r="N656" s="547"/>
      <c r="O656" s="547"/>
      <c r="P656" s="547"/>
      <c r="Q656" s="547"/>
      <c r="R656" s="547"/>
      <c r="S656" s="547"/>
      <c r="T656" s="547"/>
      <c r="U656" s="547"/>
      <c r="V656" s="547"/>
      <c r="W656" s="547"/>
      <c r="X656" s="547"/>
      <c r="Y656" s="547"/>
      <c r="Z656" s="547"/>
      <c r="AA656" s="547"/>
      <c r="AB656" s="547"/>
      <c r="AC656" s="547"/>
      <c r="AD656" s="547"/>
      <c r="AE656" s="547"/>
      <c r="AF656" s="547"/>
      <c r="AG656" s="547"/>
      <c r="AH656" s="547"/>
      <c r="AI656" s="547"/>
      <c r="AJ656" s="547"/>
      <c r="AK656" s="547"/>
      <c r="AL656" s="547"/>
      <c r="AM656" s="547"/>
      <c r="AN656" s="547"/>
      <c r="AO656" s="547"/>
      <c r="AP656" s="547"/>
      <c r="AQ656" s="547"/>
      <c r="AR656" s="547"/>
      <c r="AS656" s="547"/>
      <c r="AT656" s="547"/>
      <c r="AU656" s="547"/>
      <c r="AV656" s="547"/>
      <c r="AW656" s="547"/>
      <c r="AX656" s="547"/>
      <c r="AY656" s="547"/>
      <c r="AZ656" s="547"/>
      <c r="BA656" s="547"/>
      <c r="BB656" s="547"/>
      <c r="BC656" s="547"/>
      <c r="BD656" s="547"/>
      <c r="BE656" s="547"/>
      <c r="BF656" s="547"/>
      <c r="BG656" s="547"/>
      <c r="BH656" s="547"/>
      <c r="BI656" s="547"/>
      <c r="BJ656" s="547"/>
      <c r="BK656" s="547"/>
      <c r="BL656" s="547"/>
      <c r="BM656" s="547"/>
      <c r="BN656" s="547"/>
      <c r="BO656" s="547"/>
      <c r="BP656" s="547"/>
      <c r="BQ656" s="547"/>
      <c r="BR656" s="547"/>
      <c r="BS656" s="547"/>
      <c r="BT656" s="547"/>
      <c r="BU656" s="547"/>
      <c r="BV656" s="547"/>
      <c r="BW656" s="547"/>
      <c r="BX656" s="547"/>
      <c r="BY656" s="547"/>
      <c r="BZ656" s="547"/>
      <c r="CA656" s="547"/>
      <c r="CB656" s="547"/>
      <c r="CC656" s="547"/>
    </row>
    <row r="657" spans="1:81">
      <c r="A657" s="547"/>
      <c r="B657" s="547"/>
      <c r="C657" s="547"/>
      <c r="D657" s="547"/>
      <c r="E657" s="547"/>
      <c r="F657" s="547"/>
      <c r="G657" s="547"/>
      <c r="H657" s="547"/>
      <c r="I657" s="547"/>
      <c r="J657" s="547"/>
      <c r="K657" s="547"/>
      <c r="L657" s="547"/>
      <c r="M657" s="547"/>
      <c r="N657" s="547"/>
      <c r="O657" s="547"/>
      <c r="P657" s="547"/>
      <c r="Q657" s="547"/>
      <c r="R657" s="547"/>
      <c r="S657" s="547"/>
      <c r="T657" s="547"/>
      <c r="U657" s="547"/>
      <c r="V657" s="547"/>
      <c r="W657" s="547"/>
      <c r="X657" s="547"/>
      <c r="Y657" s="547"/>
      <c r="Z657" s="547"/>
      <c r="AA657" s="547"/>
      <c r="AB657" s="547"/>
      <c r="AC657" s="547"/>
      <c r="AD657" s="547"/>
      <c r="AE657" s="547"/>
      <c r="AF657" s="547"/>
      <c r="AG657" s="547"/>
      <c r="AH657" s="547"/>
      <c r="AI657" s="547"/>
      <c r="AJ657" s="547"/>
      <c r="AK657" s="547"/>
      <c r="AL657" s="547"/>
      <c r="AM657" s="547"/>
      <c r="AN657" s="547"/>
      <c r="AO657" s="547"/>
      <c r="AP657" s="547"/>
      <c r="AQ657" s="547"/>
      <c r="AR657" s="547"/>
      <c r="AS657" s="547"/>
      <c r="AT657" s="547"/>
      <c r="AU657" s="547"/>
      <c r="AV657" s="547"/>
      <c r="AW657" s="547"/>
      <c r="AX657" s="547"/>
      <c r="AY657" s="547"/>
      <c r="AZ657" s="547"/>
      <c r="BA657" s="547"/>
      <c r="BB657" s="547"/>
      <c r="BC657" s="547"/>
      <c r="BD657" s="547"/>
      <c r="BE657" s="547"/>
      <c r="BF657" s="547"/>
      <c r="BG657" s="547"/>
      <c r="BH657" s="547"/>
      <c r="BI657" s="547"/>
      <c r="BJ657" s="547"/>
      <c r="BK657" s="547"/>
      <c r="BL657" s="547"/>
      <c r="BM657" s="547"/>
      <c r="BN657" s="547"/>
      <c r="BO657" s="547"/>
      <c r="BP657" s="547"/>
      <c r="BQ657" s="547"/>
      <c r="BR657" s="547"/>
      <c r="BS657" s="547"/>
      <c r="BT657" s="547"/>
      <c r="BU657" s="547"/>
      <c r="BV657" s="547"/>
      <c r="BW657" s="547"/>
      <c r="BX657" s="547"/>
      <c r="BY657" s="547"/>
      <c r="BZ657" s="547"/>
      <c r="CA657" s="547"/>
      <c r="CB657" s="547"/>
      <c r="CC657" s="547"/>
    </row>
    <row r="658" spans="1:81">
      <c r="A658" s="547"/>
      <c r="B658" s="547"/>
      <c r="C658" s="547"/>
      <c r="D658" s="547"/>
      <c r="E658" s="547"/>
      <c r="F658" s="547"/>
      <c r="G658" s="547"/>
      <c r="H658" s="547"/>
      <c r="I658" s="547"/>
      <c r="J658" s="547"/>
      <c r="K658" s="547"/>
      <c r="L658" s="547"/>
      <c r="M658" s="547"/>
      <c r="N658" s="547"/>
      <c r="O658" s="547"/>
      <c r="P658" s="547"/>
      <c r="Q658" s="547"/>
      <c r="R658" s="547"/>
      <c r="S658" s="547"/>
      <c r="T658" s="547"/>
      <c r="U658" s="547"/>
      <c r="V658" s="547"/>
      <c r="W658" s="547"/>
      <c r="X658" s="547"/>
      <c r="Y658" s="547"/>
      <c r="Z658" s="547"/>
      <c r="AA658" s="547"/>
      <c r="AB658" s="547"/>
      <c r="AC658" s="547"/>
      <c r="AD658" s="547"/>
      <c r="AE658" s="547"/>
      <c r="AF658" s="547"/>
      <c r="AG658" s="547"/>
      <c r="AH658" s="547"/>
      <c r="AI658" s="547"/>
      <c r="AJ658" s="547"/>
      <c r="AK658" s="547"/>
      <c r="AL658" s="547"/>
      <c r="AM658" s="547"/>
      <c r="AN658" s="547"/>
      <c r="AO658" s="547"/>
      <c r="AP658" s="547"/>
      <c r="AQ658" s="547"/>
      <c r="AR658" s="547"/>
      <c r="AS658" s="547"/>
      <c r="AT658" s="547"/>
      <c r="AU658" s="547"/>
      <c r="AV658" s="547"/>
      <c r="AW658" s="547"/>
      <c r="AX658" s="547"/>
      <c r="AY658" s="547"/>
      <c r="AZ658" s="547"/>
      <c r="BA658" s="547"/>
      <c r="BB658" s="547"/>
      <c r="BC658" s="547"/>
      <c r="BD658" s="547"/>
      <c r="BE658" s="547"/>
      <c r="BF658" s="547"/>
      <c r="BG658" s="547"/>
      <c r="BH658" s="547"/>
      <c r="BI658" s="547"/>
      <c r="BJ658" s="547"/>
      <c r="BK658" s="547"/>
      <c r="BL658" s="547"/>
      <c r="BM658" s="547"/>
      <c r="BN658" s="547"/>
      <c r="BO658" s="547"/>
      <c r="BP658" s="547"/>
      <c r="BQ658" s="547"/>
      <c r="BR658" s="547"/>
      <c r="BS658" s="547"/>
      <c r="BT658" s="547"/>
      <c r="BU658" s="547"/>
      <c r="BV658" s="547"/>
      <c r="BW658" s="547"/>
      <c r="BX658" s="547"/>
      <c r="BY658" s="547"/>
      <c r="BZ658" s="547"/>
      <c r="CA658" s="547"/>
      <c r="CB658" s="547"/>
      <c r="CC658" s="547"/>
    </row>
    <row r="659" spans="1:81">
      <c r="A659" s="547"/>
      <c r="B659" s="547"/>
      <c r="C659" s="547"/>
      <c r="D659" s="547"/>
      <c r="E659" s="547"/>
      <c r="F659" s="547"/>
      <c r="G659" s="547"/>
      <c r="H659" s="547"/>
      <c r="I659" s="547"/>
      <c r="J659" s="547"/>
      <c r="K659" s="547"/>
      <c r="L659" s="547"/>
      <c r="M659" s="547"/>
      <c r="N659" s="547"/>
      <c r="O659" s="547"/>
      <c r="P659" s="547"/>
      <c r="Q659" s="547"/>
      <c r="R659" s="547"/>
      <c r="S659" s="547"/>
      <c r="T659" s="547"/>
      <c r="U659" s="547"/>
      <c r="V659" s="547"/>
      <c r="W659" s="547"/>
      <c r="X659" s="547"/>
      <c r="Y659" s="547"/>
      <c r="Z659" s="547"/>
      <c r="AA659" s="547"/>
      <c r="AB659" s="547"/>
      <c r="AC659" s="547"/>
      <c r="AD659" s="547"/>
      <c r="AE659" s="547"/>
      <c r="AF659" s="547"/>
      <c r="AG659" s="547"/>
      <c r="AH659" s="547"/>
      <c r="AI659" s="547"/>
      <c r="AJ659" s="547"/>
      <c r="AK659" s="547"/>
      <c r="AL659" s="547"/>
      <c r="AM659" s="547"/>
      <c r="AN659" s="547"/>
      <c r="AO659" s="547"/>
      <c r="AP659" s="547"/>
      <c r="AQ659" s="547"/>
      <c r="AR659" s="547"/>
      <c r="AS659" s="547"/>
      <c r="AT659" s="547"/>
      <c r="AU659" s="547"/>
      <c r="AV659" s="547"/>
      <c r="AW659" s="547"/>
      <c r="AX659" s="547"/>
      <c r="AY659" s="547"/>
      <c r="AZ659" s="547"/>
      <c r="BA659" s="547"/>
      <c r="BB659" s="547"/>
      <c r="BC659" s="547"/>
      <c r="BD659" s="547"/>
      <c r="BE659" s="547"/>
      <c r="BF659" s="547"/>
      <c r="BG659" s="547"/>
      <c r="BH659" s="547"/>
      <c r="BI659" s="547"/>
      <c r="BJ659" s="547"/>
      <c r="BK659" s="547"/>
      <c r="BL659" s="547"/>
      <c r="BM659" s="547"/>
      <c r="BN659" s="547"/>
      <c r="BO659" s="547"/>
      <c r="BP659" s="547"/>
      <c r="BQ659" s="547"/>
      <c r="BR659" s="547"/>
      <c r="BS659" s="547"/>
      <c r="BT659" s="547"/>
      <c r="BU659" s="547"/>
      <c r="BV659" s="547"/>
      <c r="BW659" s="547"/>
      <c r="BX659" s="547"/>
      <c r="BY659" s="547"/>
      <c r="BZ659" s="547"/>
      <c r="CA659" s="547"/>
      <c r="CB659" s="547"/>
      <c r="CC659" s="547"/>
    </row>
    <row r="660" spans="1:81">
      <c r="A660" s="547"/>
      <c r="B660" s="547"/>
      <c r="C660" s="547"/>
      <c r="D660" s="547"/>
      <c r="E660" s="547"/>
      <c r="F660" s="547"/>
      <c r="G660" s="547"/>
      <c r="H660" s="547"/>
      <c r="I660" s="547"/>
      <c r="J660" s="547"/>
      <c r="K660" s="547"/>
      <c r="L660" s="547"/>
      <c r="M660" s="547"/>
      <c r="N660" s="547"/>
      <c r="O660" s="547"/>
      <c r="P660" s="547"/>
      <c r="Q660" s="547"/>
      <c r="R660" s="547"/>
      <c r="S660" s="547"/>
      <c r="T660" s="547"/>
      <c r="U660" s="547"/>
      <c r="V660" s="547"/>
      <c r="W660" s="547"/>
      <c r="X660" s="547"/>
      <c r="Y660" s="547"/>
      <c r="Z660" s="547"/>
      <c r="AA660" s="547"/>
      <c r="AB660" s="547"/>
      <c r="AC660" s="547"/>
      <c r="AD660" s="547"/>
      <c r="AE660" s="547"/>
      <c r="AF660" s="547"/>
      <c r="AG660" s="547"/>
      <c r="AH660" s="547"/>
      <c r="AI660" s="547"/>
      <c r="AJ660" s="547"/>
      <c r="AK660" s="547"/>
      <c r="AL660" s="547"/>
      <c r="AM660" s="547"/>
      <c r="AN660" s="547"/>
      <c r="AO660" s="547"/>
      <c r="AP660" s="547"/>
      <c r="AQ660" s="547"/>
      <c r="AR660" s="547"/>
      <c r="AS660" s="547"/>
      <c r="AT660" s="547"/>
      <c r="AU660" s="547"/>
      <c r="AV660" s="547"/>
      <c r="AW660" s="547"/>
      <c r="AX660" s="547"/>
      <c r="AY660" s="547"/>
      <c r="AZ660" s="547"/>
      <c r="BA660" s="547"/>
      <c r="BB660" s="547"/>
      <c r="BC660" s="547"/>
      <c r="BD660" s="547"/>
      <c r="BE660" s="547"/>
      <c r="BF660" s="547"/>
      <c r="BG660" s="547"/>
      <c r="BH660" s="547"/>
      <c r="BI660" s="547"/>
      <c r="BJ660" s="547"/>
      <c r="BK660" s="547"/>
      <c r="BL660" s="547"/>
      <c r="BM660" s="547"/>
      <c r="BN660" s="547"/>
      <c r="BO660" s="547"/>
      <c r="BP660" s="547"/>
      <c r="BQ660" s="547"/>
      <c r="BR660" s="547"/>
      <c r="BS660" s="547"/>
      <c r="BT660" s="547"/>
      <c r="BU660" s="547"/>
      <c r="BV660" s="547"/>
      <c r="BW660" s="547"/>
      <c r="BX660" s="547"/>
      <c r="BY660" s="547"/>
      <c r="BZ660" s="547"/>
      <c r="CA660" s="547"/>
      <c r="CB660" s="547"/>
      <c r="CC660" s="547"/>
    </row>
    <row r="661" spans="1:81">
      <c r="A661" s="547"/>
      <c r="B661" s="547"/>
      <c r="C661" s="547"/>
      <c r="D661" s="547"/>
      <c r="E661" s="547"/>
      <c r="F661" s="547"/>
      <c r="G661" s="547"/>
      <c r="H661" s="547"/>
      <c r="I661" s="547"/>
      <c r="J661" s="547"/>
      <c r="K661" s="547"/>
      <c r="L661" s="547"/>
      <c r="M661" s="547"/>
      <c r="N661" s="547"/>
      <c r="O661" s="547"/>
      <c r="P661" s="547"/>
      <c r="Q661" s="547"/>
      <c r="R661" s="547"/>
      <c r="S661" s="547"/>
      <c r="T661" s="547"/>
      <c r="U661" s="547"/>
      <c r="V661" s="547"/>
      <c r="W661" s="547"/>
      <c r="X661" s="547"/>
      <c r="Y661" s="547"/>
      <c r="Z661" s="547"/>
      <c r="AA661" s="547"/>
      <c r="AB661" s="547"/>
      <c r="AC661" s="547"/>
      <c r="AD661" s="547"/>
      <c r="AE661" s="547"/>
      <c r="AF661" s="547"/>
      <c r="AG661" s="547"/>
      <c r="AH661" s="547"/>
      <c r="AI661" s="547"/>
      <c r="AJ661" s="547"/>
      <c r="AK661" s="547"/>
      <c r="AL661" s="547"/>
      <c r="AM661" s="547"/>
      <c r="AN661" s="547"/>
      <c r="AO661" s="547"/>
      <c r="AP661" s="547"/>
      <c r="AQ661" s="547"/>
      <c r="AR661" s="547"/>
      <c r="AS661" s="547"/>
      <c r="AT661" s="547"/>
      <c r="AU661" s="547"/>
      <c r="AV661" s="547"/>
      <c r="AW661" s="547"/>
      <c r="AX661" s="547"/>
      <c r="AY661" s="547"/>
      <c r="AZ661" s="547"/>
      <c r="BA661" s="547"/>
      <c r="BB661" s="547"/>
      <c r="BC661" s="547"/>
      <c r="BD661" s="547"/>
      <c r="BE661" s="547"/>
      <c r="BF661" s="547"/>
      <c r="BG661" s="547"/>
      <c r="BH661" s="547"/>
      <c r="BI661" s="547"/>
      <c r="BJ661" s="547"/>
      <c r="BK661" s="547"/>
      <c r="BL661" s="547"/>
      <c r="BM661" s="547"/>
      <c r="BN661" s="547"/>
      <c r="BO661" s="547"/>
      <c r="BP661" s="547"/>
      <c r="BQ661" s="547"/>
      <c r="BR661" s="547"/>
      <c r="BS661" s="547"/>
      <c r="BT661" s="547"/>
      <c r="BU661" s="547"/>
      <c r="BV661" s="547"/>
      <c r="BW661" s="547"/>
      <c r="BX661" s="547"/>
      <c r="BY661" s="547"/>
      <c r="BZ661" s="547"/>
      <c r="CA661" s="547"/>
      <c r="CB661" s="547"/>
      <c r="CC661" s="547"/>
    </row>
    <row r="662" spans="1:81">
      <c r="A662" s="547"/>
      <c r="B662" s="547"/>
      <c r="C662" s="547"/>
      <c r="D662" s="547"/>
      <c r="E662" s="547"/>
      <c r="F662" s="547"/>
      <c r="G662" s="547"/>
      <c r="H662" s="547"/>
      <c r="I662" s="547"/>
      <c r="J662" s="547"/>
      <c r="K662" s="547"/>
      <c r="L662" s="547"/>
      <c r="M662" s="547"/>
      <c r="N662" s="547"/>
      <c r="O662" s="547"/>
      <c r="P662" s="547"/>
      <c r="Q662" s="547"/>
      <c r="R662" s="547"/>
      <c r="S662" s="547"/>
      <c r="T662" s="547"/>
      <c r="U662" s="547"/>
      <c r="V662" s="547"/>
      <c r="W662" s="547"/>
      <c r="X662" s="547"/>
      <c r="Y662" s="547"/>
      <c r="Z662" s="547"/>
      <c r="AA662" s="547"/>
      <c r="AB662" s="547"/>
      <c r="AC662" s="547"/>
      <c r="AD662" s="547"/>
      <c r="AE662" s="547"/>
      <c r="AF662" s="547"/>
      <c r="AG662" s="547"/>
      <c r="AH662" s="547"/>
      <c r="AI662" s="547"/>
      <c r="AJ662" s="547"/>
      <c r="AK662" s="547"/>
      <c r="AL662" s="547"/>
      <c r="AM662" s="547"/>
      <c r="AN662" s="547"/>
      <c r="AO662" s="547"/>
      <c r="AP662" s="547"/>
      <c r="AQ662" s="547"/>
      <c r="AR662" s="547"/>
      <c r="AS662" s="547"/>
      <c r="AT662" s="547"/>
      <c r="AU662" s="547"/>
      <c r="AV662" s="547"/>
      <c r="AW662" s="547"/>
      <c r="AX662" s="547"/>
      <c r="AY662" s="547"/>
      <c r="AZ662" s="547"/>
      <c r="BA662" s="547"/>
      <c r="BB662" s="547"/>
      <c r="BC662" s="547"/>
      <c r="BD662" s="547"/>
      <c r="BE662" s="547"/>
      <c r="BF662" s="547"/>
      <c r="BG662" s="547"/>
      <c r="BH662" s="547"/>
      <c r="BI662" s="547"/>
      <c r="BJ662" s="547"/>
      <c r="BK662" s="547"/>
      <c r="BL662" s="547"/>
      <c r="BM662" s="547"/>
      <c r="BN662" s="547"/>
      <c r="BO662" s="547"/>
      <c r="BP662" s="547"/>
      <c r="BQ662" s="547"/>
      <c r="BR662" s="547"/>
      <c r="BS662" s="547"/>
      <c r="BT662" s="547"/>
      <c r="BU662" s="547"/>
      <c r="BV662" s="547"/>
      <c r="BW662" s="547"/>
      <c r="BX662" s="547"/>
      <c r="BY662" s="547"/>
      <c r="BZ662" s="547"/>
      <c r="CA662" s="547"/>
      <c r="CB662" s="547"/>
      <c r="CC662" s="547"/>
    </row>
  </sheetData>
  <customSheetViews>
    <customSheetView guid="{5826E3E6-173D-429F-ABE1-D868EE9E034B}" fitToPage="1" printArea="1">
      <pane ySplit="4" topLeftCell="A20" activePane="bottomLeft"/>
      <selection pane="bottomLeft" activeCell="C27" sqref="C27"/>
      <pageMargins left="0" right="0" top="0" bottom="0" header="0" footer="0"/>
      <pageSetup paperSize="9" scale="95" orientation="landscape" horizontalDpi="0" verticalDpi="0" r:id="rId1"/>
    </customSheetView>
  </customSheetViews>
  <mergeCells count="2">
    <mergeCell ref="G1:H1"/>
    <mergeCell ref="I1:K1"/>
  </mergeCells>
  <printOptions headings="1" gridLines="1"/>
  <pageMargins left="0.7" right="0.7" top="0.75" bottom="0.75" header="0.3" footer="0.3"/>
  <pageSetup paperSize="9" scale="69" orientation="portrait" horizontalDpi="0" verticalDpi="0"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O1"/>
  <sheetViews>
    <sheetView workbookViewId="0"/>
  </sheetViews>
  <sheetFormatPr defaultRowHeight="12.75"/>
  <sheetData>
    <row r="1" spans="15:15">
      <c r="O1" s="78" t="e">
        <f>#REF!</f>
        <v>#REF!</v>
      </c>
    </row>
  </sheetData>
  <pageMargins left="0.7" right="0.7" top="0.75" bottom="0.75" header="0.3" footer="0.3"/>
  <pageSetup paperSize="9" scale="5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T161"/>
  <sheetViews>
    <sheetView workbookViewId="0"/>
  </sheetViews>
  <sheetFormatPr defaultRowHeight="12.75"/>
  <cols>
    <col min="1" max="1" width="59.85546875" customWidth="1"/>
    <col min="2" max="2" width="9" customWidth="1"/>
  </cols>
  <sheetData>
    <row r="2" spans="2:16" ht="27">
      <c r="B2" s="317" t="s">
        <v>1083</v>
      </c>
      <c r="C2" s="317"/>
      <c r="D2" s="317"/>
      <c r="E2" s="317"/>
      <c r="F2" s="318"/>
      <c r="G2" s="4"/>
      <c r="H2" s="4"/>
      <c r="I2" s="4"/>
      <c r="J2" s="4"/>
      <c r="K2" s="4"/>
      <c r="L2" s="4"/>
      <c r="M2" s="4"/>
      <c r="N2" s="4"/>
    </row>
    <row r="4" spans="2:16">
      <c r="B4" t="s">
        <v>1084</v>
      </c>
      <c r="P4" t="s">
        <v>1085</v>
      </c>
    </row>
    <row r="29" spans="2:16">
      <c r="B29" t="s">
        <v>1086</v>
      </c>
      <c r="P29" t="s">
        <v>1087</v>
      </c>
    </row>
    <row r="53" spans="2:2">
      <c r="B53" t="s">
        <v>1088</v>
      </c>
    </row>
    <row r="78" spans="2:15">
      <c r="B78" t="s">
        <v>1089</v>
      </c>
      <c r="O78" t="s">
        <v>1090</v>
      </c>
    </row>
    <row r="103" spans="2:2">
      <c r="B103" t="s">
        <v>1091</v>
      </c>
    </row>
    <row r="125" spans="2:16">
      <c r="B125" t="s">
        <v>1092</v>
      </c>
      <c r="P125" t="s">
        <v>1093</v>
      </c>
    </row>
    <row r="146" spans="2:16">
      <c r="B146" t="s">
        <v>828</v>
      </c>
      <c r="P146" t="s">
        <v>1094</v>
      </c>
    </row>
    <row r="161" spans="2:20">
      <c r="B161" t="s">
        <v>1095</v>
      </c>
      <c r="T161" t="s">
        <v>1096</v>
      </c>
    </row>
  </sheetData>
  <pageMargins left="0.7" right="0.7" top="0.75" bottom="0.75" header="0.3" footer="0.3"/>
  <pageSetup paperSize="9" scale="80" orientation="landscape"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A125"/>
  <sheetViews>
    <sheetView workbookViewId="0">
      <selection sqref="A1:B1"/>
    </sheetView>
  </sheetViews>
  <sheetFormatPr defaultRowHeight="12.75"/>
  <cols>
    <col min="1" max="1" width="3.5703125" customWidth="1"/>
    <col min="2" max="2" width="24" bestFit="1" customWidth="1"/>
    <col min="3" max="3" width="7.85546875" customWidth="1"/>
    <col min="4" max="4" width="8.85546875" customWidth="1"/>
    <col min="5" max="5" width="8" customWidth="1"/>
    <col min="6" max="10" width="10.5703125" bestFit="1" customWidth="1"/>
    <col min="11" max="11" width="11" bestFit="1" customWidth="1"/>
    <col min="12" max="15" width="10.5703125" bestFit="1" customWidth="1"/>
  </cols>
  <sheetData>
    <row r="1" spans="1:27" ht="13.5">
      <c r="A1" s="1637">
        <f>NOW()</f>
        <v>43966.718486805556</v>
      </c>
      <c r="B1" s="1637"/>
      <c r="D1" s="4"/>
      <c r="E1" s="43"/>
      <c r="F1" s="46"/>
      <c r="G1" s="34"/>
      <c r="H1" s="440"/>
      <c r="I1" s="440"/>
      <c r="J1" s="440"/>
      <c r="K1" s="440"/>
      <c r="L1" s="440"/>
      <c r="M1" s="440"/>
      <c r="N1" s="450"/>
      <c r="O1" s="4"/>
      <c r="P1" s="4"/>
      <c r="Q1" s="4"/>
      <c r="R1" s="4"/>
      <c r="S1" s="4"/>
      <c r="T1" s="4"/>
      <c r="U1" s="4"/>
      <c r="V1" s="4"/>
      <c r="W1" s="4"/>
      <c r="X1" s="4"/>
      <c r="Y1" s="4"/>
      <c r="Z1" s="4"/>
      <c r="AA1" s="547"/>
    </row>
    <row r="2" spans="1:27" ht="102" customHeight="1">
      <c r="A2" s="452"/>
      <c r="B2" s="451"/>
      <c r="C2" s="453"/>
      <c r="D2" s="454"/>
      <c r="F2" s="25"/>
      <c r="G2" s="25"/>
      <c r="H2" s="25"/>
      <c r="I2" s="1647"/>
      <c r="J2" s="1647"/>
      <c r="K2" s="1647"/>
      <c r="L2" s="25"/>
      <c r="M2" s="78"/>
      <c r="N2" s="78"/>
      <c r="X2" s="78"/>
      <c r="Y2" s="78"/>
      <c r="Z2" s="78" t="e">
        <f>#REF!</f>
        <v>#REF!</v>
      </c>
      <c r="AA2" s="547"/>
    </row>
    <row r="3" spans="1:27">
      <c r="A3" s="231" t="s">
        <v>129</v>
      </c>
      <c r="B3" s="232"/>
      <c r="C3" s="481"/>
      <c r="D3" s="233">
        <v>2</v>
      </c>
      <c r="E3" s="34">
        <v>0</v>
      </c>
      <c r="F3" s="34">
        <f>E3+1</f>
        <v>1</v>
      </c>
      <c r="G3" s="34">
        <f t="shared" ref="G3:V4" si="0">F3+1</f>
        <v>2</v>
      </c>
      <c r="H3" s="34">
        <f t="shared" si="0"/>
        <v>3</v>
      </c>
      <c r="I3" s="34">
        <f t="shared" si="0"/>
        <v>4</v>
      </c>
      <c r="J3" s="34">
        <f t="shared" si="0"/>
        <v>5</v>
      </c>
      <c r="K3" s="34">
        <f t="shared" si="0"/>
        <v>6</v>
      </c>
      <c r="L3" s="34">
        <f t="shared" si="0"/>
        <v>7</v>
      </c>
      <c r="M3" s="34">
        <f t="shared" si="0"/>
        <v>8</v>
      </c>
      <c r="N3" s="34">
        <f t="shared" si="0"/>
        <v>9</v>
      </c>
      <c r="O3" s="34">
        <f t="shared" si="0"/>
        <v>10</v>
      </c>
      <c r="P3" s="34">
        <f t="shared" si="0"/>
        <v>11</v>
      </c>
      <c r="Q3" s="34">
        <f t="shared" si="0"/>
        <v>12</v>
      </c>
      <c r="R3" s="34">
        <f t="shared" si="0"/>
        <v>13</v>
      </c>
      <c r="S3" s="34">
        <f t="shared" si="0"/>
        <v>14</v>
      </c>
      <c r="T3" s="34">
        <f t="shared" si="0"/>
        <v>15</v>
      </c>
      <c r="U3" s="34">
        <f t="shared" si="0"/>
        <v>16</v>
      </c>
      <c r="V3" s="34">
        <f t="shared" si="0"/>
        <v>17</v>
      </c>
      <c r="W3" s="34">
        <f t="shared" ref="W3:Z4" si="1">V3+1</f>
        <v>18</v>
      </c>
      <c r="X3" s="34">
        <f t="shared" si="1"/>
        <v>19</v>
      </c>
      <c r="Y3" s="34">
        <f t="shared" si="1"/>
        <v>20</v>
      </c>
      <c r="Z3" s="34">
        <f t="shared" si="1"/>
        <v>21</v>
      </c>
      <c r="AA3" s="547"/>
    </row>
    <row r="4" spans="1:27">
      <c r="D4" s="3" t="s">
        <v>44</v>
      </c>
      <c r="E4" s="605">
        <v>1999</v>
      </c>
      <c r="F4" s="603">
        <f>E4+1</f>
        <v>2000</v>
      </c>
      <c r="G4" s="603">
        <f t="shared" si="0"/>
        <v>2001</v>
      </c>
      <c r="H4" s="603">
        <f t="shared" si="0"/>
        <v>2002</v>
      </c>
      <c r="I4" s="603">
        <f t="shared" si="0"/>
        <v>2003</v>
      </c>
      <c r="J4" s="603">
        <f t="shared" si="0"/>
        <v>2004</v>
      </c>
      <c r="K4" s="603">
        <f t="shared" si="0"/>
        <v>2005</v>
      </c>
      <c r="L4" s="603">
        <f t="shared" si="0"/>
        <v>2006</v>
      </c>
      <c r="M4" s="603">
        <f t="shared" si="0"/>
        <v>2007</v>
      </c>
      <c r="N4" s="603">
        <f t="shared" si="0"/>
        <v>2008</v>
      </c>
      <c r="O4" s="603">
        <f t="shared" si="0"/>
        <v>2009</v>
      </c>
      <c r="P4" s="603">
        <f t="shared" si="0"/>
        <v>2010</v>
      </c>
      <c r="Q4" s="603">
        <f t="shared" si="0"/>
        <v>2011</v>
      </c>
      <c r="R4" s="603">
        <f t="shared" si="0"/>
        <v>2012</v>
      </c>
      <c r="S4" s="603">
        <f t="shared" si="0"/>
        <v>2013</v>
      </c>
      <c r="T4" s="603">
        <f t="shared" si="0"/>
        <v>2014</v>
      </c>
      <c r="U4" s="603">
        <f t="shared" si="0"/>
        <v>2015</v>
      </c>
      <c r="V4" s="603">
        <f t="shared" si="0"/>
        <v>2016</v>
      </c>
      <c r="W4" s="603">
        <f t="shared" si="1"/>
        <v>2017</v>
      </c>
      <c r="X4" s="603">
        <f t="shared" si="1"/>
        <v>2018</v>
      </c>
      <c r="Y4" s="603">
        <f t="shared" si="1"/>
        <v>2019</v>
      </c>
      <c r="Z4" s="603">
        <f t="shared" si="1"/>
        <v>2020</v>
      </c>
      <c r="AA4" s="547"/>
    </row>
    <row r="5" spans="1:27" ht="15">
      <c r="A5" s="1646" t="s">
        <v>1097</v>
      </c>
      <c r="B5" s="1646"/>
      <c r="C5" s="58"/>
      <c r="D5" s="57"/>
      <c r="E5" s="57"/>
      <c r="F5" s="57"/>
      <c r="G5" s="57"/>
      <c r="H5" s="57"/>
      <c r="I5" s="57"/>
      <c r="J5" s="57"/>
      <c r="K5" s="57"/>
      <c r="L5" s="57"/>
      <c r="M5" s="57"/>
      <c r="N5" s="57"/>
      <c r="O5" s="57"/>
      <c r="P5" s="57"/>
    </row>
    <row r="6" spans="1:27" ht="15">
      <c r="A6" s="56" t="s">
        <v>1098</v>
      </c>
      <c r="B6" s="1016"/>
      <c r="C6" s="58"/>
      <c r="D6" s="57"/>
      <c r="E6" s="57"/>
      <c r="F6" s="57"/>
      <c r="G6" s="57"/>
      <c r="H6" s="57"/>
      <c r="I6" s="57"/>
      <c r="J6" s="57"/>
      <c r="K6" s="57"/>
      <c r="L6" s="57"/>
      <c r="M6" s="57"/>
      <c r="N6" s="57"/>
      <c r="O6" s="57"/>
      <c r="P6" s="57"/>
    </row>
    <row r="7" spans="1:27" ht="15">
      <c r="A7" s="57"/>
      <c r="B7" s="58"/>
      <c r="C7" s="59"/>
      <c r="I7" s="127"/>
      <c r="J7" s="127"/>
      <c r="K7" s="127"/>
      <c r="L7" s="165"/>
      <c r="M7" s="165"/>
      <c r="N7" s="165"/>
      <c r="O7" s="165"/>
      <c r="P7" s="165"/>
      <c r="Q7" s="165"/>
      <c r="R7" s="165"/>
      <c r="S7" s="165"/>
      <c r="T7" s="165"/>
      <c r="U7" s="165"/>
      <c r="V7" s="166"/>
    </row>
    <row r="8" spans="1:27" ht="14.25">
      <c r="A8" s="106"/>
      <c r="B8" s="57" t="s">
        <v>1099</v>
      </c>
      <c r="C8" s="60"/>
      <c r="I8" s="128">
        <v>984</v>
      </c>
      <c r="J8" s="128">
        <v>1089</v>
      </c>
      <c r="K8" s="128">
        <v>1449</v>
      </c>
      <c r="L8" s="128">
        <v>1290</v>
      </c>
      <c r="M8" s="128">
        <v>1786</v>
      </c>
      <c r="N8" s="128">
        <v>1281</v>
      </c>
      <c r="O8" s="128">
        <v>1208</v>
      </c>
      <c r="P8" s="128">
        <v>1265</v>
      </c>
      <c r="Q8" s="128">
        <v>1542</v>
      </c>
      <c r="R8" s="128">
        <v>1344</v>
      </c>
      <c r="S8" s="128">
        <v>1833</v>
      </c>
      <c r="T8" s="128">
        <v>1965</v>
      </c>
      <c r="U8" s="128"/>
    </row>
    <row r="9" spans="1:27" ht="14.25">
      <c r="A9" s="106"/>
      <c r="B9" s="57" t="s">
        <v>511</v>
      </c>
      <c r="C9" s="61"/>
      <c r="I9" s="129">
        <v>388</v>
      </c>
      <c r="J9" s="129">
        <v>454</v>
      </c>
      <c r="K9" s="129">
        <v>909</v>
      </c>
      <c r="L9" s="129">
        <v>666</v>
      </c>
      <c r="M9" s="129">
        <v>708</v>
      </c>
      <c r="N9" s="129">
        <v>852</v>
      </c>
      <c r="O9" s="129">
        <v>666</v>
      </c>
      <c r="P9" s="129">
        <v>753</v>
      </c>
      <c r="Q9" s="129">
        <v>881</v>
      </c>
      <c r="R9" s="129">
        <v>997</v>
      </c>
      <c r="S9" s="129">
        <v>1239</v>
      </c>
      <c r="T9" s="129">
        <v>1532</v>
      </c>
      <c r="U9" s="128"/>
    </row>
    <row r="10" spans="1:27" ht="15">
      <c r="A10" s="106">
        <v>1</v>
      </c>
      <c r="B10" s="54" t="s">
        <v>461</v>
      </c>
      <c r="C10" s="62"/>
      <c r="I10" s="130">
        <f t="shared" ref="I10:T10" si="2">I8-I9</f>
        <v>596</v>
      </c>
      <c r="J10" s="130">
        <f t="shared" si="2"/>
        <v>635</v>
      </c>
      <c r="K10" s="130">
        <f t="shared" si="2"/>
        <v>540</v>
      </c>
      <c r="L10" s="130">
        <f t="shared" si="2"/>
        <v>624</v>
      </c>
      <c r="M10" s="130">
        <f t="shared" si="2"/>
        <v>1078</v>
      </c>
      <c r="N10" s="130">
        <f t="shared" si="2"/>
        <v>429</v>
      </c>
      <c r="O10" s="130">
        <f t="shared" si="2"/>
        <v>542</v>
      </c>
      <c r="P10" s="130">
        <f t="shared" si="2"/>
        <v>512</v>
      </c>
      <c r="Q10" s="130">
        <f t="shared" si="2"/>
        <v>661</v>
      </c>
      <c r="R10" s="130">
        <f t="shared" si="2"/>
        <v>347</v>
      </c>
      <c r="S10" s="130">
        <f t="shared" si="2"/>
        <v>594</v>
      </c>
      <c r="T10" s="130">
        <f t="shared" si="2"/>
        <v>433</v>
      </c>
      <c r="U10" s="128"/>
    </row>
    <row r="11" spans="1:27" ht="14.25">
      <c r="A11" s="106"/>
      <c r="B11" s="57" t="s">
        <v>1100</v>
      </c>
      <c r="C11" s="57"/>
      <c r="I11" s="128">
        <f>I10-C10</f>
        <v>596</v>
      </c>
      <c r="J11" s="128">
        <f t="shared" ref="J11:T11" si="3">J10-I10</f>
        <v>39</v>
      </c>
      <c r="K11" s="128">
        <f t="shared" si="3"/>
        <v>-95</v>
      </c>
      <c r="L11" s="128">
        <f t="shared" si="3"/>
        <v>84</v>
      </c>
      <c r="M11" s="128">
        <f t="shared" si="3"/>
        <v>454</v>
      </c>
      <c r="N11" s="128">
        <f t="shared" si="3"/>
        <v>-649</v>
      </c>
      <c r="O11" s="128">
        <f t="shared" si="3"/>
        <v>113</v>
      </c>
      <c r="P11" s="128">
        <f t="shared" si="3"/>
        <v>-30</v>
      </c>
      <c r="Q11" s="128">
        <f t="shared" si="3"/>
        <v>149</v>
      </c>
      <c r="R11" s="128">
        <f t="shared" si="3"/>
        <v>-314</v>
      </c>
      <c r="S11" s="128">
        <f t="shared" si="3"/>
        <v>247</v>
      </c>
      <c r="T11" s="128">
        <f t="shared" si="3"/>
        <v>-161</v>
      </c>
      <c r="U11" s="131"/>
    </row>
    <row r="12" spans="1:27" ht="14.25">
      <c r="A12" s="106"/>
      <c r="B12" s="57"/>
      <c r="C12" s="57"/>
      <c r="I12" s="128"/>
      <c r="J12" s="128"/>
      <c r="K12" s="128"/>
      <c r="L12" s="128"/>
      <c r="M12" s="128"/>
      <c r="N12" s="128"/>
      <c r="O12" s="128"/>
      <c r="P12" s="128"/>
      <c r="Q12" s="128"/>
      <c r="R12" s="128"/>
      <c r="S12" s="128"/>
      <c r="T12" s="128"/>
      <c r="U12" s="131"/>
    </row>
    <row r="13" spans="1:27" ht="14.25">
      <c r="A13" s="106"/>
      <c r="B13" s="57" t="s">
        <v>1101</v>
      </c>
      <c r="C13" s="63"/>
      <c r="I13" s="132">
        <f t="shared" ref="I13:T13" si="4">I10/I9</f>
        <v>1.5360824742268042</v>
      </c>
      <c r="J13" s="132">
        <f t="shared" si="4"/>
        <v>1.3986784140969164</v>
      </c>
      <c r="K13" s="132">
        <f t="shared" si="4"/>
        <v>0.59405940594059403</v>
      </c>
      <c r="L13" s="132">
        <f t="shared" si="4"/>
        <v>0.93693693693693691</v>
      </c>
      <c r="M13" s="132">
        <f t="shared" si="4"/>
        <v>1.5225988700564972</v>
      </c>
      <c r="N13" s="132">
        <f t="shared" si="4"/>
        <v>0.50352112676056338</v>
      </c>
      <c r="O13" s="132">
        <f t="shared" si="4"/>
        <v>0.81381381381381379</v>
      </c>
      <c r="P13" s="132">
        <f t="shared" si="4"/>
        <v>0.67994687915006635</v>
      </c>
      <c r="Q13" s="132">
        <f t="shared" si="4"/>
        <v>0.75028376844494893</v>
      </c>
      <c r="R13" s="132">
        <f t="shared" si="4"/>
        <v>0.34804413239719156</v>
      </c>
      <c r="S13" s="132">
        <f t="shared" si="4"/>
        <v>0.47941888619854722</v>
      </c>
      <c r="T13" s="132">
        <f t="shared" si="4"/>
        <v>0.28263707571801566</v>
      </c>
      <c r="U13" s="133">
        <f>AVERAGE(C13:T13)</f>
        <v>0.82050181531174138</v>
      </c>
    </row>
    <row r="14" spans="1:27" ht="14.25">
      <c r="A14" s="106"/>
      <c r="B14" s="57" t="s">
        <v>1102</v>
      </c>
      <c r="C14" s="64"/>
      <c r="I14" s="134">
        <f t="shared" ref="I14:T14" si="5">I8/I9</f>
        <v>2.536082474226804</v>
      </c>
      <c r="J14" s="134">
        <f t="shared" si="5"/>
        <v>2.3986784140969162</v>
      </c>
      <c r="K14" s="134">
        <f t="shared" si="5"/>
        <v>1.5940594059405941</v>
      </c>
      <c r="L14" s="134">
        <f t="shared" si="5"/>
        <v>1.9369369369369369</v>
      </c>
      <c r="M14" s="134">
        <f t="shared" si="5"/>
        <v>2.522598870056497</v>
      </c>
      <c r="N14" s="134">
        <f t="shared" si="5"/>
        <v>1.5035211267605635</v>
      </c>
      <c r="O14" s="134">
        <f t="shared" si="5"/>
        <v>1.8138138138138138</v>
      </c>
      <c r="P14" s="134">
        <f t="shared" si="5"/>
        <v>1.6799468791500665</v>
      </c>
      <c r="Q14" s="134">
        <f t="shared" si="5"/>
        <v>1.7502837684449488</v>
      </c>
      <c r="R14" s="134">
        <f t="shared" si="5"/>
        <v>1.3480441323971917</v>
      </c>
      <c r="S14" s="134">
        <f t="shared" si="5"/>
        <v>1.4794188861985471</v>
      </c>
      <c r="T14" s="134">
        <f t="shared" si="5"/>
        <v>1.2826370757180157</v>
      </c>
      <c r="U14" s="135">
        <f>AVERAGE(C14:T14)</f>
        <v>1.8205018153117412</v>
      </c>
    </row>
    <row r="15" spans="1:27" ht="14.25">
      <c r="A15" s="106"/>
      <c r="B15" s="57"/>
      <c r="C15" s="57"/>
      <c r="I15" s="131"/>
      <c r="J15" s="131"/>
      <c r="K15" s="131"/>
      <c r="L15" s="131"/>
      <c r="M15" s="131"/>
      <c r="N15" s="131"/>
      <c r="O15" s="131"/>
      <c r="P15" s="131"/>
      <c r="Q15" s="131"/>
      <c r="R15" s="131"/>
      <c r="S15" s="131"/>
      <c r="T15" s="131"/>
      <c r="U15" s="136"/>
    </row>
    <row r="16" spans="1:27" ht="15">
      <c r="A16" s="106">
        <v>2</v>
      </c>
      <c r="B16" s="54" t="s">
        <v>750</v>
      </c>
      <c r="C16" s="62"/>
      <c r="I16" s="130"/>
      <c r="J16" s="130">
        <v>35</v>
      </c>
      <c r="K16" s="130">
        <v>25</v>
      </c>
      <c r="L16" s="130">
        <v>55</v>
      </c>
      <c r="M16" s="130">
        <v>60</v>
      </c>
      <c r="N16" s="130">
        <v>39</v>
      </c>
      <c r="O16" s="130">
        <v>48</v>
      </c>
      <c r="P16" s="130">
        <v>51</v>
      </c>
      <c r="Q16" s="130">
        <v>47</v>
      </c>
      <c r="R16" s="130">
        <v>33</v>
      </c>
      <c r="S16" s="130">
        <v>37</v>
      </c>
      <c r="T16" s="130">
        <v>16</v>
      </c>
      <c r="U16" s="137">
        <f>SUM(C16:T16)</f>
        <v>446</v>
      </c>
    </row>
    <row r="17" spans="1:21" ht="14.25">
      <c r="A17" s="106"/>
      <c r="B17" s="57" t="s">
        <v>1103</v>
      </c>
      <c r="C17" s="65"/>
      <c r="I17" s="129"/>
      <c r="J17" s="129">
        <f t="shared" ref="J17:T17" si="6">(I9+J9)/2</f>
        <v>421</v>
      </c>
      <c r="K17" s="129">
        <f t="shared" si="6"/>
        <v>681.5</v>
      </c>
      <c r="L17" s="129">
        <f t="shared" si="6"/>
        <v>787.5</v>
      </c>
      <c r="M17" s="129">
        <f t="shared" si="6"/>
        <v>687</v>
      </c>
      <c r="N17" s="129">
        <f t="shared" si="6"/>
        <v>780</v>
      </c>
      <c r="O17" s="129">
        <f t="shared" si="6"/>
        <v>759</v>
      </c>
      <c r="P17" s="129">
        <f t="shared" si="6"/>
        <v>709.5</v>
      </c>
      <c r="Q17" s="129">
        <f t="shared" si="6"/>
        <v>817</v>
      </c>
      <c r="R17" s="129">
        <f t="shared" si="6"/>
        <v>939</v>
      </c>
      <c r="S17" s="129">
        <f t="shared" si="6"/>
        <v>1118</v>
      </c>
      <c r="T17" s="129">
        <f t="shared" si="6"/>
        <v>1385.5</v>
      </c>
      <c r="U17" s="136"/>
    </row>
    <row r="18" spans="1:21" ht="14.25">
      <c r="A18" s="106"/>
      <c r="B18" s="57" t="s">
        <v>1104</v>
      </c>
      <c r="C18" s="66"/>
      <c r="I18" s="138"/>
      <c r="J18" s="138">
        <f t="shared" ref="J18:T18" si="7">J16/J17</f>
        <v>8.3135391923990498E-2</v>
      </c>
      <c r="K18" s="138">
        <f t="shared" si="7"/>
        <v>3.6683785766691124E-2</v>
      </c>
      <c r="L18" s="138">
        <f t="shared" si="7"/>
        <v>6.9841269841269843E-2</v>
      </c>
      <c r="M18" s="138">
        <f t="shared" si="7"/>
        <v>8.7336244541484712E-2</v>
      </c>
      <c r="N18" s="138">
        <f t="shared" si="7"/>
        <v>0.05</v>
      </c>
      <c r="O18" s="138">
        <f t="shared" si="7"/>
        <v>6.3241106719367585E-2</v>
      </c>
      <c r="P18" s="138">
        <f t="shared" si="7"/>
        <v>7.1881606765327691E-2</v>
      </c>
      <c r="Q18" s="138">
        <f t="shared" si="7"/>
        <v>5.7527539779681759E-2</v>
      </c>
      <c r="R18" s="138">
        <f t="shared" si="7"/>
        <v>3.5143769968051117E-2</v>
      </c>
      <c r="S18" s="138">
        <f t="shared" si="7"/>
        <v>3.3094812164579608E-2</v>
      </c>
      <c r="T18" s="138">
        <f t="shared" si="7"/>
        <v>1.154817755322988E-2</v>
      </c>
      <c r="U18" s="139">
        <f>AVERAGE(C18:T18)</f>
        <v>5.4493973183970354E-2</v>
      </c>
    </row>
    <row r="19" spans="1:21" ht="15">
      <c r="A19" s="106"/>
      <c r="B19" s="57"/>
      <c r="C19" s="58"/>
      <c r="I19" s="131"/>
      <c r="J19" s="131"/>
      <c r="K19" s="131"/>
      <c r="L19" s="131"/>
      <c r="M19" s="131"/>
      <c r="N19" s="131"/>
      <c r="O19" s="131"/>
      <c r="P19" s="140"/>
      <c r="Q19" s="140" t="s">
        <v>1105</v>
      </c>
      <c r="R19" s="141">
        <f>R18</f>
        <v>3.5143769968051117E-2</v>
      </c>
      <c r="S19" s="141">
        <f>S18</f>
        <v>3.3094812164579608E-2</v>
      </c>
      <c r="T19" s="141">
        <f>T18</f>
        <v>1.154817755322988E-2</v>
      </c>
      <c r="U19" s="142">
        <f>AVERAGE(C19:T19)</f>
        <v>2.659558656195354E-2</v>
      </c>
    </row>
    <row r="20" spans="1:21" ht="14.25">
      <c r="A20" s="106"/>
      <c r="B20" s="57" t="s">
        <v>1106</v>
      </c>
      <c r="C20" s="66"/>
      <c r="I20" s="138"/>
      <c r="J20" s="138">
        <f t="shared" ref="J20:T20" si="8">J27/J17</f>
        <v>0.18313539192399048</v>
      </c>
      <c r="K20" s="138">
        <f t="shared" si="8"/>
        <v>0.13668378576669113</v>
      </c>
      <c r="L20" s="138">
        <f t="shared" si="8"/>
        <v>0.16984126984126985</v>
      </c>
      <c r="M20" s="138">
        <f t="shared" si="8"/>
        <v>0.1873362445414847</v>
      </c>
      <c r="N20" s="138">
        <f t="shared" si="8"/>
        <v>0.15</v>
      </c>
      <c r="O20" s="138">
        <f t="shared" si="8"/>
        <v>0.16324110671936759</v>
      </c>
      <c r="P20" s="138">
        <f t="shared" si="8"/>
        <v>0.17188160676532771</v>
      </c>
      <c r="Q20" s="138">
        <f t="shared" si="8"/>
        <v>0.15752753977968176</v>
      </c>
      <c r="R20" s="138">
        <f t="shared" si="8"/>
        <v>0.13514376996805114</v>
      </c>
      <c r="S20" s="138">
        <f t="shared" si="8"/>
        <v>0.13309481216457961</v>
      </c>
      <c r="T20" s="138">
        <f t="shared" si="8"/>
        <v>0.11154817755322989</v>
      </c>
      <c r="U20" s="139">
        <f>AVERAGE(C20:T20)</f>
        <v>0.15449397318397035</v>
      </c>
    </row>
    <row r="21" spans="1:21" ht="14.25">
      <c r="A21" s="106"/>
      <c r="B21" s="57" t="s">
        <v>1107</v>
      </c>
      <c r="C21" s="67"/>
      <c r="I21" s="143"/>
      <c r="J21" s="143">
        <v>0.1</v>
      </c>
      <c r="K21" s="143">
        <v>0.1</v>
      </c>
      <c r="L21" s="143">
        <v>0.1</v>
      </c>
      <c r="M21" s="143">
        <v>0.1</v>
      </c>
      <c r="N21" s="143">
        <v>0.1</v>
      </c>
      <c r="O21" s="143">
        <v>0.1</v>
      </c>
      <c r="P21" s="143">
        <v>0.1</v>
      </c>
      <c r="Q21" s="143">
        <v>0.1</v>
      </c>
      <c r="R21" s="143">
        <v>0.1</v>
      </c>
      <c r="S21" s="143">
        <v>0.1</v>
      </c>
      <c r="T21" s="143">
        <v>0.1</v>
      </c>
      <c r="U21" s="144">
        <f>AVERAGE(C21:T21)</f>
        <v>9.9999999999999992E-2</v>
      </c>
    </row>
    <row r="22" spans="1:21" ht="14.25">
      <c r="A22" s="106"/>
      <c r="B22" s="57" t="s">
        <v>1104</v>
      </c>
      <c r="C22" s="68"/>
      <c r="I22" s="145"/>
      <c r="J22" s="145">
        <f t="shared" ref="J22:U22" si="9">J20-J21</f>
        <v>8.313539192399047E-2</v>
      </c>
      <c r="K22" s="145">
        <f t="shared" si="9"/>
        <v>3.6683785766691124E-2</v>
      </c>
      <c r="L22" s="145">
        <f t="shared" si="9"/>
        <v>6.9841269841269843E-2</v>
      </c>
      <c r="M22" s="145">
        <f t="shared" si="9"/>
        <v>8.7336244541484698E-2</v>
      </c>
      <c r="N22" s="145">
        <f t="shared" si="9"/>
        <v>4.9999999999999989E-2</v>
      </c>
      <c r="O22" s="145">
        <f t="shared" si="9"/>
        <v>6.3241106719367585E-2</v>
      </c>
      <c r="P22" s="145">
        <f t="shared" si="9"/>
        <v>7.1881606765327705E-2</v>
      </c>
      <c r="Q22" s="145">
        <f t="shared" si="9"/>
        <v>5.7527539779681752E-2</v>
      </c>
      <c r="R22" s="145">
        <f t="shared" si="9"/>
        <v>3.5143769968051131E-2</v>
      </c>
      <c r="S22" s="145">
        <f t="shared" si="9"/>
        <v>3.3094812164579601E-2</v>
      </c>
      <c r="T22" s="145">
        <f t="shared" si="9"/>
        <v>1.1548177553229885E-2</v>
      </c>
      <c r="U22" s="139">
        <f t="shared" si="9"/>
        <v>5.4493973183970354E-2</v>
      </c>
    </row>
    <row r="23" spans="1:21" ht="14.25">
      <c r="A23" s="106"/>
      <c r="B23" s="57"/>
      <c r="C23" s="68"/>
      <c r="I23" s="145"/>
      <c r="J23" s="145"/>
      <c r="K23" s="145"/>
      <c r="L23" s="145"/>
      <c r="M23" s="145"/>
      <c r="N23" s="145"/>
      <c r="O23" s="145"/>
      <c r="P23" s="145"/>
      <c r="Q23" s="145"/>
      <c r="R23" s="145"/>
      <c r="S23" s="145"/>
      <c r="T23" s="145"/>
      <c r="U23" s="139"/>
    </row>
    <row r="24" spans="1:21" ht="15">
      <c r="A24" s="106">
        <v>3</v>
      </c>
      <c r="B24" s="54" t="s">
        <v>459</v>
      </c>
      <c r="C24" s="57"/>
      <c r="I24" s="130"/>
      <c r="J24" s="130">
        <f>J29</f>
        <v>11.099999999999994</v>
      </c>
      <c r="K24" s="130">
        <f t="shared" ref="K24:U24" si="10">K29</f>
        <v>-361.85</v>
      </c>
      <c r="L24" s="130">
        <f t="shared" si="10"/>
        <v>376.75</v>
      </c>
      <c r="M24" s="130">
        <f t="shared" si="10"/>
        <v>86.699999999999989</v>
      </c>
      <c r="N24" s="130">
        <f t="shared" si="10"/>
        <v>-27</v>
      </c>
      <c r="O24" s="130">
        <f t="shared" si="10"/>
        <v>309.89999999999998</v>
      </c>
      <c r="P24" s="130">
        <f t="shared" si="10"/>
        <v>34.950000000000003</v>
      </c>
      <c r="Q24" s="130">
        <f t="shared" si="10"/>
        <v>0.69999999999998863</v>
      </c>
      <c r="R24" s="130">
        <f t="shared" si="10"/>
        <v>10.900000000000006</v>
      </c>
      <c r="S24" s="130">
        <f t="shared" si="10"/>
        <v>-93.199999999999989</v>
      </c>
      <c r="T24" s="130">
        <f t="shared" si="10"/>
        <v>-138.44999999999999</v>
      </c>
      <c r="U24" s="137">
        <f t="shared" si="10"/>
        <v>210.5</v>
      </c>
    </row>
    <row r="25" spans="1:21" ht="14.25">
      <c r="A25" s="106"/>
      <c r="B25" s="57" t="s">
        <v>674</v>
      </c>
      <c r="C25" s="69"/>
      <c r="I25" s="128"/>
      <c r="J25" s="128">
        <f t="shared" ref="J25:T25" si="11">J21*J17</f>
        <v>42.1</v>
      </c>
      <c r="K25" s="128">
        <f t="shared" si="11"/>
        <v>68.150000000000006</v>
      </c>
      <c r="L25" s="128">
        <f t="shared" si="11"/>
        <v>78.75</v>
      </c>
      <c r="M25" s="128">
        <f t="shared" si="11"/>
        <v>68.7</v>
      </c>
      <c r="N25" s="128">
        <f t="shared" si="11"/>
        <v>78</v>
      </c>
      <c r="O25" s="128">
        <f t="shared" si="11"/>
        <v>75.900000000000006</v>
      </c>
      <c r="P25" s="128">
        <f t="shared" si="11"/>
        <v>70.95</v>
      </c>
      <c r="Q25" s="128">
        <f t="shared" si="11"/>
        <v>81.7</v>
      </c>
      <c r="R25" s="128">
        <f t="shared" si="11"/>
        <v>93.9</v>
      </c>
      <c r="S25" s="128">
        <f t="shared" si="11"/>
        <v>111.80000000000001</v>
      </c>
      <c r="T25" s="128">
        <f t="shared" si="11"/>
        <v>138.55000000000001</v>
      </c>
      <c r="U25" s="146">
        <f>SUM(C25:T25)</f>
        <v>908.5</v>
      </c>
    </row>
    <row r="26" spans="1:21" ht="14.25">
      <c r="A26" s="106"/>
      <c r="B26" s="57" t="s">
        <v>750</v>
      </c>
      <c r="C26" s="70"/>
      <c r="I26" s="129"/>
      <c r="J26" s="129">
        <f t="shared" ref="J26:T26" si="12">J16</f>
        <v>35</v>
      </c>
      <c r="K26" s="129">
        <f t="shared" si="12"/>
        <v>25</v>
      </c>
      <c r="L26" s="129">
        <f t="shared" si="12"/>
        <v>55</v>
      </c>
      <c r="M26" s="129">
        <f t="shared" si="12"/>
        <v>60</v>
      </c>
      <c r="N26" s="129">
        <f t="shared" si="12"/>
        <v>39</v>
      </c>
      <c r="O26" s="129">
        <f t="shared" si="12"/>
        <v>48</v>
      </c>
      <c r="P26" s="129">
        <f t="shared" si="12"/>
        <v>51</v>
      </c>
      <c r="Q26" s="129">
        <f t="shared" si="12"/>
        <v>47</v>
      </c>
      <c r="R26" s="129">
        <f t="shared" si="12"/>
        <v>33</v>
      </c>
      <c r="S26" s="129">
        <f t="shared" si="12"/>
        <v>37</v>
      </c>
      <c r="T26" s="129">
        <f t="shared" si="12"/>
        <v>16</v>
      </c>
      <c r="U26" s="147">
        <f>SUM(C26:T26)</f>
        <v>446</v>
      </c>
    </row>
    <row r="27" spans="1:21" ht="14.25">
      <c r="A27" s="106"/>
      <c r="B27" s="57" t="s">
        <v>458</v>
      </c>
      <c r="C27" s="69"/>
      <c r="I27" s="128"/>
      <c r="J27" s="128">
        <f t="shared" ref="J27:T27" si="13">J25+J26</f>
        <v>77.099999999999994</v>
      </c>
      <c r="K27" s="128">
        <f t="shared" si="13"/>
        <v>93.15</v>
      </c>
      <c r="L27" s="128">
        <f t="shared" si="13"/>
        <v>133.75</v>
      </c>
      <c r="M27" s="128">
        <f t="shared" si="13"/>
        <v>128.69999999999999</v>
      </c>
      <c r="N27" s="128">
        <f t="shared" si="13"/>
        <v>117</v>
      </c>
      <c r="O27" s="128">
        <f t="shared" si="13"/>
        <v>123.9</v>
      </c>
      <c r="P27" s="128">
        <f t="shared" si="13"/>
        <v>121.95</v>
      </c>
      <c r="Q27" s="128">
        <f t="shared" si="13"/>
        <v>128.69999999999999</v>
      </c>
      <c r="R27" s="128">
        <f t="shared" si="13"/>
        <v>126.9</v>
      </c>
      <c r="S27" s="128">
        <f t="shared" si="13"/>
        <v>148.80000000000001</v>
      </c>
      <c r="T27" s="128">
        <f t="shared" si="13"/>
        <v>154.55000000000001</v>
      </c>
      <c r="U27" s="146">
        <f>SUM(C27:T27)</f>
        <v>1354.5</v>
      </c>
    </row>
    <row r="28" spans="1:21" ht="14.25">
      <c r="A28" s="106"/>
      <c r="B28" s="57" t="s">
        <v>1108</v>
      </c>
      <c r="C28" s="71"/>
      <c r="I28" s="129"/>
      <c r="J28" s="129">
        <f>J9-I9</f>
        <v>66</v>
      </c>
      <c r="K28" s="129">
        <f t="shared" ref="K28:T28" si="14">K9-J9</f>
        <v>455</v>
      </c>
      <c r="L28" s="129">
        <f t="shared" si="14"/>
        <v>-243</v>
      </c>
      <c r="M28" s="129">
        <f t="shared" si="14"/>
        <v>42</v>
      </c>
      <c r="N28" s="129">
        <f t="shared" si="14"/>
        <v>144</v>
      </c>
      <c r="O28" s="129">
        <f t="shared" si="14"/>
        <v>-186</v>
      </c>
      <c r="P28" s="129">
        <f t="shared" si="14"/>
        <v>87</v>
      </c>
      <c r="Q28" s="129">
        <f t="shared" si="14"/>
        <v>128</v>
      </c>
      <c r="R28" s="129">
        <f t="shared" si="14"/>
        <v>116</v>
      </c>
      <c r="S28" s="129">
        <f t="shared" si="14"/>
        <v>242</v>
      </c>
      <c r="T28" s="129">
        <f t="shared" si="14"/>
        <v>293</v>
      </c>
      <c r="U28" s="147">
        <f>SUM(C28:T28)</f>
        <v>1144</v>
      </c>
    </row>
    <row r="29" spans="1:21" ht="14.25">
      <c r="A29" s="106"/>
      <c r="B29" s="57" t="s">
        <v>1109</v>
      </c>
      <c r="C29" s="57"/>
      <c r="I29" s="128"/>
      <c r="J29" s="128">
        <f t="shared" ref="J29:T29" si="15">J27-J28</f>
        <v>11.099999999999994</v>
      </c>
      <c r="K29" s="128">
        <f t="shared" si="15"/>
        <v>-361.85</v>
      </c>
      <c r="L29" s="128">
        <f t="shared" si="15"/>
        <v>376.75</v>
      </c>
      <c r="M29" s="128">
        <f t="shared" si="15"/>
        <v>86.699999999999989</v>
      </c>
      <c r="N29" s="128">
        <f t="shared" si="15"/>
        <v>-27</v>
      </c>
      <c r="O29" s="128">
        <f t="shared" si="15"/>
        <v>309.89999999999998</v>
      </c>
      <c r="P29" s="128">
        <f t="shared" si="15"/>
        <v>34.950000000000003</v>
      </c>
      <c r="Q29" s="128">
        <f t="shared" si="15"/>
        <v>0.69999999999998863</v>
      </c>
      <c r="R29" s="128">
        <f t="shared" si="15"/>
        <v>10.900000000000006</v>
      </c>
      <c r="S29" s="128">
        <f t="shared" si="15"/>
        <v>-93.199999999999989</v>
      </c>
      <c r="T29" s="128">
        <f t="shared" si="15"/>
        <v>-138.44999999999999</v>
      </c>
      <c r="U29" s="146">
        <f>SUM(C29:T29)</f>
        <v>210.5</v>
      </c>
    </row>
    <row r="30" spans="1:21" ht="14.25">
      <c r="A30" s="106"/>
      <c r="B30" s="57" t="s">
        <v>1110</v>
      </c>
      <c r="C30" s="68"/>
      <c r="I30" s="145"/>
      <c r="J30" s="145">
        <f t="shared" ref="J30:T30" si="16">J29/J17</f>
        <v>2.6365795724465544E-2</v>
      </c>
      <c r="K30" s="145">
        <f t="shared" si="16"/>
        <v>-0.53096111518708733</v>
      </c>
      <c r="L30" s="145">
        <f t="shared" si="16"/>
        <v>0.4784126984126984</v>
      </c>
      <c r="M30" s="145">
        <f t="shared" si="16"/>
        <v>0.1262008733624454</v>
      </c>
      <c r="N30" s="145">
        <f t="shared" si="16"/>
        <v>-3.4615384615384617E-2</v>
      </c>
      <c r="O30" s="145">
        <f t="shared" si="16"/>
        <v>0.40830039525691697</v>
      </c>
      <c r="P30" s="145">
        <f t="shared" si="16"/>
        <v>4.9260042283298104E-2</v>
      </c>
      <c r="Q30" s="145">
        <f t="shared" si="16"/>
        <v>8.5679314565482089E-4</v>
      </c>
      <c r="R30" s="145">
        <f t="shared" si="16"/>
        <v>1.1608093716719921E-2</v>
      </c>
      <c r="S30" s="145">
        <f t="shared" si="16"/>
        <v>-8.3363148479427537E-2</v>
      </c>
      <c r="T30" s="145">
        <f t="shared" si="16"/>
        <v>-9.9927823890292311E-2</v>
      </c>
      <c r="U30" s="139">
        <f>AVERAGE(C30:T30)</f>
        <v>3.2012474520909752E-2</v>
      </c>
    </row>
    <row r="31" spans="1:21" ht="15">
      <c r="A31" s="107"/>
      <c r="B31" s="71"/>
      <c r="C31" s="55"/>
      <c r="I31" s="148"/>
      <c r="J31" s="149"/>
      <c r="K31" s="149"/>
      <c r="L31" s="149"/>
      <c r="M31" s="149"/>
      <c r="N31" s="149"/>
      <c r="O31" s="149"/>
      <c r="P31" s="149"/>
      <c r="Q31" s="150"/>
      <c r="R31" s="149"/>
      <c r="S31" s="149"/>
      <c r="T31" s="149"/>
      <c r="U31" s="149"/>
    </row>
    <row r="32" spans="1:21" ht="15">
      <c r="A32" s="108">
        <v>4</v>
      </c>
      <c r="B32" s="54" t="s">
        <v>1111</v>
      </c>
      <c r="C32" s="68"/>
      <c r="I32" s="145" t="s">
        <v>601</v>
      </c>
      <c r="J32" s="151">
        <f>J35/J38</f>
        <v>0.18292682926829268</v>
      </c>
      <c r="K32" s="151">
        <f t="shared" ref="K32:T32" si="17">K35/K38</f>
        <v>-6.4279155188246104E-2</v>
      </c>
      <c r="L32" s="151">
        <f t="shared" si="17"/>
        <v>0.16080055210489994</v>
      </c>
      <c r="M32" s="151">
        <f t="shared" si="17"/>
        <v>-1.3953488372093023E-2</v>
      </c>
      <c r="N32" s="151">
        <f t="shared" si="17"/>
        <v>0.30459126539753639</v>
      </c>
      <c r="O32" s="151">
        <f t="shared" si="17"/>
        <v>0.1053864168618267</v>
      </c>
      <c r="P32" s="151">
        <f t="shared" si="17"/>
        <v>-4.5529801324503308E-2</v>
      </c>
      <c r="Q32" s="151">
        <f t="shared" si="17"/>
        <v>-6.7984189723320154E-2</v>
      </c>
      <c r="R32" s="151">
        <f t="shared" si="17"/>
        <v>0.13942931258106356</v>
      </c>
      <c r="S32" s="151">
        <f t="shared" si="17"/>
        <v>-0.19717261904761904</v>
      </c>
      <c r="T32" s="151">
        <f t="shared" si="17"/>
        <v>7.6923076923076927E-2</v>
      </c>
      <c r="U32" s="152"/>
    </row>
    <row r="33" spans="1:22" ht="15">
      <c r="A33" s="107"/>
      <c r="B33" s="71"/>
      <c r="C33" s="55"/>
      <c r="I33" s="148"/>
      <c r="J33" s="149"/>
      <c r="K33" s="149"/>
      <c r="L33" s="149"/>
      <c r="M33" s="149"/>
      <c r="N33" s="149"/>
      <c r="O33" s="149"/>
      <c r="P33" s="149"/>
      <c r="Q33" s="150"/>
      <c r="R33" s="149"/>
      <c r="S33" s="149"/>
      <c r="T33" s="149"/>
      <c r="U33" s="152"/>
    </row>
    <row r="34" spans="1:22" ht="15">
      <c r="A34" s="108">
        <v>5</v>
      </c>
      <c r="B34" s="54" t="s">
        <v>1112</v>
      </c>
      <c r="C34" s="68"/>
      <c r="I34" s="145"/>
      <c r="J34" s="152"/>
      <c r="K34" s="152"/>
      <c r="L34" s="152"/>
      <c r="M34" s="152"/>
      <c r="N34" s="152"/>
      <c r="O34" s="152"/>
      <c r="P34" s="152"/>
      <c r="Q34" s="153"/>
      <c r="R34" s="152"/>
      <c r="S34" s="152"/>
      <c r="T34" s="152"/>
      <c r="U34" s="152"/>
    </row>
    <row r="35" spans="1:22">
      <c r="A35" s="103"/>
      <c r="B35" t="s">
        <v>595</v>
      </c>
      <c r="C35" s="3" t="s">
        <v>433</v>
      </c>
      <c r="I35" s="117"/>
      <c r="J35" s="36">
        <f>J38-J37-J36</f>
        <v>180</v>
      </c>
      <c r="K35" s="36">
        <f t="shared" ref="K35:T35" si="18">K38-K37-K36</f>
        <v>-70</v>
      </c>
      <c r="L35" s="36">
        <f t="shared" si="18"/>
        <v>233</v>
      </c>
      <c r="M35" s="36">
        <f t="shared" si="18"/>
        <v>-18</v>
      </c>
      <c r="N35" s="36">
        <f t="shared" si="18"/>
        <v>544</v>
      </c>
      <c r="O35" s="36">
        <f t="shared" si="18"/>
        <v>135</v>
      </c>
      <c r="P35" s="36">
        <f t="shared" si="18"/>
        <v>-55</v>
      </c>
      <c r="Q35" s="36">
        <f t="shared" si="18"/>
        <v>-86</v>
      </c>
      <c r="R35" s="36">
        <f t="shared" si="18"/>
        <v>215</v>
      </c>
      <c r="S35" s="36">
        <f t="shared" si="18"/>
        <v>-265</v>
      </c>
      <c r="T35" s="36">
        <f t="shared" si="18"/>
        <v>141</v>
      </c>
      <c r="U35" s="117"/>
    </row>
    <row r="36" spans="1:22">
      <c r="A36" s="103"/>
      <c r="B36" t="s">
        <v>596</v>
      </c>
      <c r="C36" s="3" t="s">
        <v>433</v>
      </c>
      <c r="I36" s="117"/>
      <c r="J36" s="154">
        <f>J16/J21</f>
        <v>350</v>
      </c>
      <c r="K36" s="154">
        <f t="shared" ref="K36:T36" si="19">K16/K21</f>
        <v>250</v>
      </c>
      <c r="L36" s="154">
        <f t="shared" si="19"/>
        <v>550</v>
      </c>
      <c r="M36" s="154">
        <f t="shared" si="19"/>
        <v>600</v>
      </c>
      <c r="N36" s="154">
        <f t="shared" si="19"/>
        <v>390</v>
      </c>
      <c r="O36" s="154">
        <f t="shared" si="19"/>
        <v>480</v>
      </c>
      <c r="P36" s="154">
        <f t="shared" si="19"/>
        <v>510</v>
      </c>
      <c r="Q36" s="154">
        <f t="shared" si="19"/>
        <v>470</v>
      </c>
      <c r="R36" s="154">
        <f t="shared" si="19"/>
        <v>330</v>
      </c>
      <c r="S36" s="154">
        <f t="shared" si="19"/>
        <v>370</v>
      </c>
      <c r="T36" s="154">
        <f t="shared" si="19"/>
        <v>160</v>
      </c>
      <c r="U36" s="117"/>
    </row>
    <row r="37" spans="1:22">
      <c r="A37" s="103"/>
      <c r="B37" t="s">
        <v>396</v>
      </c>
      <c r="C37" s="3" t="s">
        <v>433</v>
      </c>
      <c r="I37" s="117"/>
      <c r="J37" s="155">
        <f>J9</f>
        <v>454</v>
      </c>
      <c r="K37" s="155">
        <f t="shared" ref="K37:T37" si="20">K9</f>
        <v>909</v>
      </c>
      <c r="L37" s="155">
        <f t="shared" si="20"/>
        <v>666</v>
      </c>
      <c r="M37" s="155">
        <f t="shared" si="20"/>
        <v>708</v>
      </c>
      <c r="N37" s="155">
        <f t="shared" si="20"/>
        <v>852</v>
      </c>
      <c r="O37" s="155">
        <f t="shared" si="20"/>
        <v>666</v>
      </c>
      <c r="P37" s="155">
        <f t="shared" si="20"/>
        <v>753</v>
      </c>
      <c r="Q37" s="155">
        <f t="shared" si="20"/>
        <v>881</v>
      </c>
      <c r="R37" s="155">
        <f t="shared" si="20"/>
        <v>997</v>
      </c>
      <c r="S37" s="155">
        <f t="shared" si="20"/>
        <v>1239</v>
      </c>
      <c r="T37" s="155">
        <f t="shared" si="20"/>
        <v>1532</v>
      </c>
      <c r="U37" s="117"/>
    </row>
    <row r="38" spans="1:22">
      <c r="A38" s="103"/>
      <c r="B38" t="s">
        <v>1113</v>
      </c>
      <c r="I38" s="117"/>
      <c r="J38" s="36">
        <f>I8</f>
        <v>984</v>
      </c>
      <c r="K38" s="36">
        <f t="shared" ref="K38:T38" si="21">J8</f>
        <v>1089</v>
      </c>
      <c r="L38" s="36">
        <f t="shared" si="21"/>
        <v>1449</v>
      </c>
      <c r="M38" s="36">
        <f t="shared" si="21"/>
        <v>1290</v>
      </c>
      <c r="N38" s="36">
        <f t="shared" si="21"/>
        <v>1786</v>
      </c>
      <c r="O38" s="36">
        <f t="shared" si="21"/>
        <v>1281</v>
      </c>
      <c r="P38" s="36">
        <f t="shared" si="21"/>
        <v>1208</v>
      </c>
      <c r="Q38" s="36">
        <f t="shared" si="21"/>
        <v>1265</v>
      </c>
      <c r="R38" s="36">
        <f t="shared" si="21"/>
        <v>1542</v>
      </c>
      <c r="S38" s="36">
        <f t="shared" si="21"/>
        <v>1344</v>
      </c>
      <c r="T38" s="36">
        <f t="shared" si="21"/>
        <v>1833</v>
      </c>
      <c r="U38" s="117"/>
    </row>
    <row r="39" spans="1:22">
      <c r="A39" s="103"/>
      <c r="I39" s="117"/>
      <c r="J39" s="117"/>
      <c r="K39" s="117"/>
      <c r="L39" s="117"/>
      <c r="M39" s="117"/>
      <c r="N39" s="117"/>
      <c r="O39" s="117"/>
      <c r="P39" s="117"/>
      <c r="Q39" s="117"/>
      <c r="R39" s="117"/>
      <c r="S39" s="117"/>
      <c r="T39" s="117"/>
      <c r="U39" s="117"/>
    </row>
    <row r="40" spans="1:22">
      <c r="A40" s="103"/>
      <c r="B40" t="s">
        <v>595</v>
      </c>
      <c r="C40" s="3" t="s">
        <v>431</v>
      </c>
      <c r="I40" s="117"/>
      <c r="J40" s="156">
        <f t="shared" ref="J40:T40" si="22">J35/J38</f>
        <v>0.18292682926829268</v>
      </c>
      <c r="K40" s="156">
        <f t="shared" si="22"/>
        <v>-6.4279155188246104E-2</v>
      </c>
      <c r="L40" s="156">
        <f t="shared" si="22"/>
        <v>0.16080055210489994</v>
      </c>
      <c r="M40" s="156">
        <f t="shared" si="22"/>
        <v>-1.3953488372093023E-2</v>
      </c>
      <c r="N40" s="156">
        <f t="shared" si="22"/>
        <v>0.30459126539753639</v>
      </c>
      <c r="O40" s="156">
        <f t="shared" si="22"/>
        <v>0.1053864168618267</v>
      </c>
      <c r="P40" s="156">
        <f t="shared" si="22"/>
        <v>-4.5529801324503308E-2</v>
      </c>
      <c r="Q40" s="156">
        <f t="shared" si="22"/>
        <v>-6.7984189723320154E-2</v>
      </c>
      <c r="R40" s="156">
        <f t="shared" si="22"/>
        <v>0.13942931258106356</v>
      </c>
      <c r="S40" s="156">
        <f t="shared" si="22"/>
        <v>-0.19717261904761904</v>
      </c>
      <c r="T40" s="156">
        <f t="shared" si="22"/>
        <v>7.6923076923076927E-2</v>
      </c>
      <c r="U40" s="117"/>
    </row>
    <row r="41" spans="1:22">
      <c r="A41" s="103"/>
      <c r="B41" t="s">
        <v>596</v>
      </c>
      <c r="C41" s="3" t="s">
        <v>431</v>
      </c>
      <c r="I41" s="117"/>
      <c r="J41" s="157">
        <f t="shared" ref="J41:T41" si="23">J36/J38</f>
        <v>0.35569105691056913</v>
      </c>
      <c r="K41" s="157">
        <f t="shared" si="23"/>
        <v>0.2295684113865932</v>
      </c>
      <c r="L41" s="157">
        <f t="shared" si="23"/>
        <v>0.37957211870255347</v>
      </c>
      <c r="M41" s="157">
        <f t="shared" si="23"/>
        <v>0.46511627906976744</v>
      </c>
      <c r="N41" s="157">
        <f t="shared" si="23"/>
        <v>0.21836506159014557</v>
      </c>
      <c r="O41" s="157">
        <f t="shared" si="23"/>
        <v>0.37470725995316162</v>
      </c>
      <c r="P41" s="157">
        <f t="shared" si="23"/>
        <v>0.42218543046357615</v>
      </c>
      <c r="Q41" s="157">
        <f t="shared" si="23"/>
        <v>0.3715415019762846</v>
      </c>
      <c r="R41" s="157">
        <f t="shared" si="23"/>
        <v>0.2140077821011673</v>
      </c>
      <c r="S41" s="157">
        <f t="shared" si="23"/>
        <v>0.27529761904761907</v>
      </c>
      <c r="T41" s="157">
        <f t="shared" si="23"/>
        <v>8.7288597926895806E-2</v>
      </c>
      <c r="U41" s="117"/>
    </row>
    <row r="42" spans="1:22">
      <c r="A42" s="103"/>
      <c r="B42" t="s">
        <v>396</v>
      </c>
      <c r="C42" s="3" t="s">
        <v>431</v>
      </c>
      <c r="I42" s="117"/>
      <c r="J42" s="158">
        <f>J37/J38</f>
        <v>0.4613821138211382</v>
      </c>
      <c r="K42" s="158">
        <f t="shared" ref="K42:T42" si="24">K37/K38</f>
        <v>0.83471074380165289</v>
      </c>
      <c r="L42" s="158">
        <f t="shared" si="24"/>
        <v>0.45962732919254656</v>
      </c>
      <c r="M42" s="158">
        <f t="shared" si="24"/>
        <v>0.5488372093023256</v>
      </c>
      <c r="N42" s="158">
        <f t="shared" si="24"/>
        <v>0.47704367301231804</v>
      </c>
      <c r="O42" s="158">
        <f t="shared" si="24"/>
        <v>0.51990632318501173</v>
      </c>
      <c r="P42" s="158">
        <f t="shared" si="24"/>
        <v>0.6233443708609272</v>
      </c>
      <c r="Q42" s="158">
        <f t="shared" si="24"/>
        <v>0.69644268774703555</v>
      </c>
      <c r="R42" s="158">
        <f t="shared" si="24"/>
        <v>0.64656290531776917</v>
      </c>
      <c r="S42" s="158">
        <f t="shared" si="24"/>
        <v>0.921875</v>
      </c>
      <c r="T42" s="158">
        <f t="shared" si="24"/>
        <v>0.83578832515002732</v>
      </c>
      <c r="U42" s="117"/>
    </row>
    <row r="43" spans="1:22">
      <c r="A43" s="103"/>
      <c r="B43" t="s">
        <v>1113</v>
      </c>
      <c r="I43" s="117"/>
      <c r="J43" s="156">
        <f t="shared" ref="J43:T43" si="25">J41+J40</f>
        <v>0.53861788617886175</v>
      </c>
      <c r="K43" s="156">
        <f t="shared" si="25"/>
        <v>0.16528925619834711</v>
      </c>
      <c r="L43" s="156">
        <f t="shared" si="25"/>
        <v>0.54037267080745344</v>
      </c>
      <c r="M43" s="156">
        <f t="shared" si="25"/>
        <v>0.4511627906976744</v>
      </c>
      <c r="N43" s="156">
        <f t="shared" si="25"/>
        <v>0.52295632698768202</v>
      </c>
      <c r="O43" s="156">
        <f t="shared" si="25"/>
        <v>0.48009367681498832</v>
      </c>
      <c r="P43" s="156">
        <f t="shared" si="25"/>
        <v>0.37665562913907286</v>
      </c>
      <c r="Q43" s="156">
        <f t="shared" si="25"/>
        <v>0.30355731225296445</v>
      </c>
      <c r="R43" s="156">
        <f t="shared" si="25"/>
        <v>0.35343709468223083</v>
      </c>
      <c r="S43" s="156">
        <f t="shared" si="25"/>
        <v>7.8125000000000028E-2</v>
      </c>
      <c r="T43" s="156">
        <f t="shared" si="25"/>
        <v>0.16421167484997273</v>
      </c>
      <c r="U43" s="117"/>
    </row>
    <row r="44" spans="1:22">
      <c r="A44" s="104"/>
      <c r="B44" s="4"/>
      <c r="C44" s="4"/>
      <c r="I44" s="159"/>
      <c r="J44" s="159"/>
      <c r="K44" s="159"/>
      <c r="L44" s="159"/>
      <c r="M44" s="159"/>
      <c r="N44" s="159"/>
      <c r="O44" s="159"/>
      <c r="P44" s="159"/>
      <c r="Q44" s="159"/>
      <c r="R44" s="159"/>
      <c r="S44" s="159"/>
      <c r="T44" s="159"/>
      <c r="U44" s="159"/>
    </row>
    <row r="45" spans="1:22">
      <c r="A45" s="103"/>
      <c r="I45" s="117"/>
      <c r="J45" s="117"/>
      <c r="K45" s="117"/>
      <c r="L45" s="117"/>
      <c r="M45" s="117"/>
      <c r="N45" s="117"/>
      <c r="O45" s="117"/>
      <c r="P45" s="117"/>
      <c r="Q45" s="117"/>
      <c r="R45" s="117"/>
      <c r="S45" s="117"/>
      <c r="T45" s="117"/>
      <c r="U45" s="117"/>
    </row>
    <row r="46" spans="1:22" ht="15">
      <c r="A46" s="109">
        <v>6</v>
      </c>
      <c r="B46" s="99" t="s">
        <v>552</v>
      </c>
      <c r="C46" s="12"/>
      <c r="I46" s="160"/>
      <c r="J46" s="161">
        <f t="shared" ref="J46:T46" si="26">J8/J9</f>
        <v>2.3986784140969162</v>
      </c>
      <c r="K46" s="161">
        <f t="shared" si="26"/>
        <v>1.5940594059405941</v>
      </c>
      <c r="L46" s="161">
        <f t="shared" si="26"/>
        <v>1.9369369369369369</v>
      </c>
      <c r="M46" s="161">
        <f t="shared" si="26"/>
        <v>2.522598870056497</v>
      </c>
      <c r="N46" s="161">
        <f t="shared" si="26"/>
        <v>1.5035211267605635</v>
      </c>
      <c r="O46" s="161">
        <f t="shared" si="26"/>
        <v>1.8138138138138138</v>
      </c>
      <c r="P46" s="161">
        <f t="shared" si="26"/>
        <v>1.6799468791500665</v>
      </c>
      <c r="Q46" s="161">
        <f t="shared" si="26"/>
        <v>1.7502837684449488</v>
      </c>
      <c r="R46" s="161">
        <f t="shared" si="26"/>
        <v>1.3480441323971917</v>
      </c>
      <c r="S46" s="161">
        <f t="shared" si="26"/>
        <v>1.4794188861985471</v>
      </c>
      <c r="T46" s="161">
        <f t="shared" si="26"/>
        <v>1.2826370757180157</v>
      </c>
      <c r="U46" s="160"/>
      <c r="V46" s="12"/>
    </row>
    <row r="47" spans="1:22" ht="14.25">
      <c r="A47" s="110"/>
      <c r="B47" s="11"/>
      <c r="C47" s="11"/>
      <c r="I47" s="162"/>
      <c r="J47" s="162"/>
      <c r="K47" s="162"/>
      <c r="L47" s="162"/>
      <c r="M47" s="162"/>
      <c r="N47" s="162"/>
      <c r="O47" s="162"/>
      <c r="P47" s="162"/>
      <c r="Q47" s="162"/>
      <c r="R47" s="162"/>
      <c r="S47" s="162"/>
      <c r="T47" s="162"/>
      <c r="U47" s="162"/>
      <c r="V47" s="12"/>
    </row>
    <row r="48" spans="1:22" ht="14.25" hidden="1">
      <c r="A48" s="111"/>
      <c r="B48" s="12" t="s">
        <v>537</v>
      </c>
      <c r="C48" s="12"/>
      <c r="D48" s="12" t="s">
        <v>1114</v>
      </c>
      <c r="E48" s="12"/>
      <c r="F48" s="35">
        <f t="shared" ref="F48:O48" si="27">K16*100/F49</f>
        <v>1.4846302172132778E-3</v>
      </c>
      <c r="G48" s="35">
        <f t="shared" si="27"/>
        <v>3.1967841513903979E-3</v>
      </c>
      <c r="H48" s="35">
        <f t="shared" si="27"/>
        <v>3.4064083625054359E-3</v>
      </c>
      <c r="I48" s="35">
        <f t="shared" si="27"/>
        <v>2.2477997498602329E-3</v>
      </c>
      <c r="J48" s="35">
        <f t="shared" si="27"/>
        <v>2.7894732254155879E-3</v>
      </c>
      <c r="K48" s="35">
        <f t="shared" si="27"/>
        <v>3.0489718687507286E-3</v>
      </c>
      <c r="L48" s="35">
        <f t="shared" si="27"/>
        <v>2.8181225667460339E-3</v>
      </c>
      <c r="M48" s="35">
        <f t="shared" si="27"/>
        <v>1.9051269853732433E-3</v>
      </c>
      <c r="N48" s="35">
        <f t="shared" si="27"/>
        <v>1.6521308916327161E-3</v>
      </c>
      <c r="O48" s="35">
        <f t="shared" si="27"/>
        <v>6.0412055527740835E-4</v>
      </c>
      <c r="P48" s="12"/>
      <c r="Q48" s="12"/>
    </row>
    <row r="49" spans="1:18" ht="14.25" hidden="1">
      <c r="A49" s="110"/>
      <c r="B49" s="11" t="s">
        <v>528</v>
      </c>
      <c r="C49" s="11"/>
      <c r="D49" s="11" t="s">
        <v>1115</v>
      </c>
      <c r="E49" s="79"/>
      <c r="F49" s="79">
        <v>1683921</v>
      </c>
      <c r="G49" s="79">
        <v>1720479</v>
      </c>
      <c r="H49" s="79">
        <v>1761386</v>
      </c>
      <c r="I49" s="79">
        <v>1735030</v>
      </c>
      <c r="J49" s="79">
        <v>1720755</v>
      </c>
      <c r="K49" s="79">
        <v>1672695</v>
      </c>
      <c r="L49" s="79">
        <v>1667777</v>
      </c>
      <c r="M49" s="79">
        <v>1732168</v>
      </c>
      <c r="N49" s="79">
        <v>2239532</v>
      </c>
      <c r="O49" s="79">
        <v>2648478</v>
      </c>
      <c r="P49" s="79"/>
      <c r="Q49" s="74"/>
      <c r="R49" s="72"/>
    </row>
    <row r="50" spans="1:18" ht="14.25" hidden="1">
      <c r="A50" s="111"/>
      <c r="B50" s="12"/>
      <c r="C50" s="12"/>
      <c r="D50" s="12"/>
      <c r="E50" s="74"/>
      <c r="F50" s="74"/>
      <c r="G50" s="74"/>
      <c r="H50" s="74"/>
      <c r="I50" s="74"/>
      <c r="J50" s="74"/>
      <c r="K50" s="74"/>
      <c r="L50" s="74"/>
      <c r="M50" s="74"/>
      <c r="N50" s="74"/>
      <c r="O50" s="74"/>
      <c r="P50" s="74"/>
      <c r="Q50" s="74"/>
      <c r="R50" s="72"/>
    </row>
    <row r="51" spans="1:18" ht="14.25" hidden="1">
      <c r="A51" s="111"/>
      <c r="B51" s="12"/>
      <c r="C51" s="12"/>
      <c r="D51" s="12"/>
      <c r="E51" s="74"/>
      <c r="F51" s="74"/>
      <c r="G51" s="74">
        <f t="shared" ref="G51:O51" si="28">G49-F49</f>
        <v>36558</v>
      </c>
      <c r="H51" s="74">
        <f t="shared" si="28"/>
        <v>40907</v>
      </c>
      <c r="I51" s="74">
        <f t="shared" si="28"/>
        <v>-26356</v>
      </c>
      <c r="J51" s="74">
        <f t="shared" si="28"/>
        <v>-14275</v>
      </c>
      <c r="K51" s="74">
        <f t="shared" si="28"/>
        <v>-48060</v>
      </c>
      <c r="L51" s="74">
        <f t="shared" si="28"/>
        <v>-4918</v>
      </c>
      <c r="M51" s="74">
        <f t="shared" si="28"/>
        <v>64391</v>
      </c>
      <c r="N51" s="74">
        <f t="shared" si="28"/>
        <v>507364</v>
      </c>
      <c r="O51" s="74">
        <f t="shared" si="28"/>
        <v>408946</v>
      </c>
      <c r="P51" s="74"/>
      <c r="Q51" s="74"/>
      <c r="R51" s="72"/>
    </row>
    <row r="52" spans="1:18" ht="14.25" hidden="1">
      <c r="A52" s="111"/>
      <c r="B52" s="12"/>
      <c r="C52" s="12"/>
      <c r="D52" s="12"/>
      <c r="E52" s="74"/>
      <c r="F52" s="74"/>
      <c r="G52" s="35">
        <f t="shared" ref="G52:O52" si="29">G51/F49</f>
        <v>2.1710044592353206E-2</v>
      </c>
      <c r="H52" s="35">
        <f t="shared" si="29"/>
        <v>2.3776518051077635E-2</v>
      </c>
      <c r="I52" s="35">
        <f t="shared" si="29"/>
        <v>-1.4963216467032213E-2</v>
      </c>
      <c r="J52" s="35">
        <f t="shared" si="29"/>
        <v>-8.2275234433986724E-3</v>
      </c>
      <c r="K52" s="35">
        <f t="shared" si="29"/>
        <v>-2.7929600669473573E-2</v>
      </c>
      <c r="L52" s="35">
        <f t="shared" si="29"/>
        <v>-2.9401654216698204E-3</v>
      </c>
      <c r="M52" s="35">
        <f t="shared" si="29"/>
        <v>3.8608878764966777E-2</v>
      </c>
      <c r="N52" s="35">
        <f t="shared" si="29"/>
        <v>0.29290692357785159</v>
      </c>
      <c r="O52" s="35">
        <f t="shared" si="29"/>
        <v>0.18260332962422507</v>
      </c>
      <c r="P52" s="74"/>
      <c r="Q52" s="74"/>
      <c r="R52" s="72"/>
    </row>
    <row r="53" spans="1:18" ht="14.25" hidden="1">
      <c r="A53" s="111"/>
      <c r="B53" s="12"/>
      <c r="C53" s="12"/>
      <c r="D53" s="12"/>
      <c r="E53" s="74"/>
      <c r="F53" s="74"/>
      <c r="G53" s="74"/>
      <c r="H53" s="74"/>
      <c r="I53" s="74"/>
      <c r="J53" s="74"/>
      <c r="K53" s="74"/>
      <c r="L53" s="74"/>
      <c r="M53" s="74"/>
      <c r="N53" s="74"/>
      <c r="O53" s="74"/>
      <c r="P53" s="74"/>
      <c r="Q53" s="74"/>
      <c r="R53" s="72"/>
    </row>
    <row r="54" spans="1:18" ht="14.25" hidden="1">
      <c r="A54" s="111"/>
      <c r="B54" s="12" t="s">
        <v>1116</v>
      </c>
      <c r="C54" s="12"/>
      <c r="D54" s="12"/>
      <c r="E54" s="76" t="e">
        <f>+#REF!</f>
        <v>#REF!</v>
      </c>
      <c r="F54" s="76" t="e">
        <f>+#REF!</f>
        <v>#REF!</v>
      </c>
      <c r="G54" s="76" t="e">
        <f>+#REF!</f>
        <v>#REF!</v>
      </c>
      <c r="H54" s="76" t="e">
        <f>+#REF!</f>
        <v>#REF!</v>
      </c>
      <c r="I54" s="76" t="e">
        <f>+#REF!</f>
        <v>#REF!</v>
      </c>
      <c r="J54" s="76" t="e">
        <f>+#REF!</f>
        <v>#REF!</v>
      </c>
      <c r="K54" s="76" t="e">
        <f>+#REF!</f>
        <v>#REF!</v>
      </c>
      <c r="L54" s="76" t="e">
        <f>+#REF!</f>
        <v>#REF!</v>
      </c>
      <c r="M54" s="76" t="e">
        <f>+#REF!</f>
        <v>#REF!</v>
      </c>
      <c r="N54" s="76" t="e">
        <f>+#REF!</f>
        <v>#REF!</v>
      </c>
      <c r="O54" s="76" t="e">
        <f>+#REF!</f>
        <v>#REF!</v>
      </c>
      <c r="P54" s="74"/>
      <c r="Q54" s="74"/>
      <c r="R54" s="72"/>
    </row>
    <row r="55" spans="1:18" ht="14.25" hidden="1">
      <c r="A55" s="111"/>
      <c r="B55" s="12"/>
      <c r="C55" s="12"/>
      <c r="D55" s="12"/>
      <c r="E55" s="74"/>
      <c r="F55" s="74"/>
      <c r="G55" s="74"/>
      <c r="H55" s="74"/>
      <c r="I55" s="74"/>
      <c r="J55" s="74"/>
      <c r="K55" s="74"/>
      <c r="L55" s="74"/>
      <c r="M55" s="74"/>
      <c r="N55" s="74"/>
      <c r="O55" s="74"/>
      <c r="P55" s="74"/>
      <c r="Q55" s="74"/>
      <c r="R55" s="72"/>
    </row>
    <row r="56" spans="1:18" ht="14.25" hidden="1">
      <c r="A56" s="111"/>
      <c r="B56" s="12"/>
      <c r="C56" s="12"/>
      <c r="D56" s="12"/>
      <c r="E56" s="74"/>
      <c r="F56" s="74" t="e">
        <f>F49*F54/100</f>
        <v>#REF!</v>
      </c>
      <c r="G56" s="74" t="e">
        <f t="shared" ref="G56:O56" si="30">G49*G54/100</f>
        <v>#REF!</v>
      </c>
      <c r="H56" s="74" t="e">
        <f t="shared" si="30"/>
        <v>#REF!</v>
      </c>
      <c r="I56" s="74" t="e">
        <f t="shared" si="30"/>
        <v>#REF!</v>
      </c>
      <c r="J56" s="74" t="e">
        <f t="shared" si="30"/>
        <v>#REF!</v>
      </c>
      <c r="K56" s="74" t="e">
        <f t="shared" si="30"/>
        <v>#REF!</v>
      </c>
      <c r="L56" s="74" t="e">
        <f t="shared" si="30"/>
        <v>#REF!</v>
      </c>
      <c r="M56" s="74" t="e">
        <f t="shared" si="30"/>
        <v>#REF!</v>
      </c>
      <c r="N56" s="74" t="e">
        <f t="shared" si="30"/>
        <v>#REF!</v>
      </c>
      <c r="O56" s="74" t="e">
        <f t="shared" si="30"/>
        <v>#REF!</v>
      </c>
      <c r="P56" s="74"/>
      <c r="Q56" s="74"/>
      <c r="R56" s="72"/>
    </row>
    <row r="57" spans="1:18" ht="14.25" hidden="1">
      <c r="A57" s="111"/>
      <c r="B57" s="12"/>
      <c r="C57" s="12"/>
      <c r="D57" s="12"/>
      <c r="E57" s="74"/>
      <c r="F57" s="74"/>
      <c r="G57" s="74" t="e">
        <f>G56-F56</f>
        <v>#REF!</v>
      </c>
      <c r="H57" s="74" t="e">
        <f t="shared" ref="H57:O57" si="31">H56-G56</f>
        <v>#REF!</v>
      </c>
      <c r="I57" s="74" t="e">
        <f t="shared" si="31"/>
        <v>#REF!</v>
      </c>
      <c r="J57" s="74" t="e">
        <f t="shared" si="31"/>
        <v>#REF!</v>
      </c>
      <c r="K57" s="74" t="e">
        <f t="shared" si="31"/>
        <v>#REF!</v>
      </c>
      <c r="L57" s="74" t="e">
        <f t="shared" si="31"/>
        <v>#REF!</v>
      </c>
      <c r="M57" s="74" t="e">
        <f>M56-L56</f>
        <v>#REF!</v>
      </c>
      <c r="N57" s="74" t="e">
        <f>N56-M56</f>
        <v>#REF!</v>
      </c>
      <c r="O57" s="74" t="e">
        <f t="shared" si="31"/>
        <v>#REF!</v>
      </c>
      <c r="P57" s="74"/>
      <c r="Q57" s="74"/>
      <c r="R57" s="72"/>
    </row>
    <row r="58" spans="1:18" ht="14.25" hidden="1">
      <c r="A58" s="111"/>
      <c r="B58" s="12"/>
      <c r="C58" s="12"/>
      <c r="D58" s="12"/>
      <c r="E58" s="74"/>
      <c r="F58" s="74"/>
      <c r="G58" s="35" t="e">
        <f>G57/F56</f>
        <v>#REF!</v>
      </c>
      <c r="H58" s="35" t="e">
        <f t="shared" ref="H58:O58" si="32">H57/G56</f>
        <v>#REF!</v>
      </c>
      <c r="I58" s="35" t="e">
        <f t="shared" si="32"/>
        <v>#REF!</v>
      </c>
      <c r="J58" s="35" t="e">
        <f t="shared" si="32"/>
        <v>#REF!</v>
      </c>
      <c r="K58" s="35" t="e">
        <f t="shared" si="32"/>
        <v>#REF!</v>
      </c>
      <c r="L58" s="35" t="e">
        <f t="shared" si="32"/>
        <v>#REF!</v>
      </c>
      <c r="M58" s="35" t="e">
        <f>M57/L56</f>
        <v>#REF!</v>
      </c>
      <c r="N58" s="35" t="e">
        <f>N57/M56</f>
        <v>#REF!</v>
      </c>
      <c r="O58" s="35" t="e">
        <f t="shared" si="32"/>
        <v>#REF!</v>
      </c>
      <c r="P58" s="74"/>
      <c r="Q58" s="74"/>
      <c r="R58" s="72"/>
    </row>
    <row r="59" spans="1:18" ht="14.25" hidden="1">
      <c r="A59" s="111"/>
      <c r="B59" s="12"/>
      <c r="C59" s="12"/>
      <c r="D59" s="12"/>
      <c r="E59" s="74"/>
      <c r="F59" s="74"/>
      <c r="G59" s="74"/>
      <c r="H59" s="74"/>
      <c r="I59" s="74"/>
      <c r="J59" s="74"/>
      <c r="K59" s="74"/>
      <c r="L59" s="74"/>
      <c r="M59" s="74"/>
      <c r="N59" s="74"/>
      <c r="O59" s="74"/>
      <c r="P59" s="74"/>
      <c r="Q59" s="74"/>
      <c r="R59" s="72"/>
    </row>
    <row r="60" spans="1:18" ht="14.25" hidden="1">
      <c r="A60" s="111"/>
      <c r="B60" s="12"/>
      <c r="C60" s="12"/>
      <c r="D60" s="12"/>
      <c r="E60" s="74"/>
      <c r="F60" s="74"/>
      <c r="G60" s="74"/>
      <c r="H60" s="74"/>
      <c r="I60" s="74"/>
      <c r="J60" s="74"/>
      <c r="K60" s="74"/>
      <c r="L60" s="74"/>
      <c r="M60" s="74"/>
      <c r="N60" s="74"/>
      <c r="O60" s="74"/>
      <c r="P60" s="74"/>
      <c r="Q60" s="74"/>
      <c r="R60" s="72"/>
    </row>
    <row r="61" spans="1:18" ht="14.25" hidden="1">
      <c r="A61" s="111"/>
      <c r="B61" s="12"/>
      <c r="C61" s="12"/>
      <c r="D61" s="12"/>
      <c r="E61" s="74"/>
      <c r="F61" s="74"/>
      <c r="G61" s="74"/>
      <c r="H61" s="74"/>
      <c r="I61" s="74"/>
      <c r="J61" s="74"/>
      <c r="K61" s="74"/>
      <c r="L61" s="74"/>
      <c r="M61" s="74"/>
      <c r="N61" s="74"/>
      <c r="O61" s="74"/>
      <c r="P61" s="74"/>
      <c r="Q61" s="74"/>
      <c r="R61" s="72"/>
    </row>
    <row r="62" spans="1:18" ht="14.25">
      <c r="A62" s="111"/>
      <c r="B62" s="12"/>
      <c r="C62" s="12"/>
      <c r="D62" s="12"/>
      <c r="E62" s="74"/>
      <c r="F62" s="74"/>
      <c r="G62" s="74"/>
      <c r="H62" s="74"/>
      <c r="I62" s="74"/>
      <c r="J62" s="74"/>
      <c r="K62" s="74"/>
      <c r="L62" s="74"/>
      <c r="M62" s="74"/>
      <c r="N62" s="74"/>
      <c r="O62" s="74"/>
      <c r="P62" s="74"/>
      <c r="Q62" s="74"/>
      <c r="R62" s="72"/>
    </row>
    <row r="63" spans="1:18">
      <c r="A63" s="103"/>
      <c r="E63" s="72"/>
      <c r="F63" s="72"/>
      <c r="G63" s="72"/>
      <c r="H63" s="72"/>
      <c r="I63" s="72"/>
      <c r="J63" s="72"/>
      <c r="K63" s="72"/>
      <c r="L63" s="72"/>
      <c r="M63" s="72"/>
      <c r="N63" s="72"/>
      <c r="O63" s="72"/>
      <c r="P63" s="72"/>
      <c r="Q63" s="72"/>
      <c r="R63" s="72"/>
    </row>
    <row r="64" spans="1:18">
      <c r="A64" s="103"/>
    </row>
    <row r="65" spans="1:1">
      <c r="A65" s="103"/>
    </row>
    <row r="66" spans="1:1">
      <c r="A66" s="103"/>
    </row>
    <row r="67" spans="1:1">
      <c r="A67" s="103"/>
    </row>
    <row r="68" spans="1:1">
      <c r="A68" s="103"/>
    </row>
    <row r="69" spans="1:1">
      <c r="A69" s="103"/>
    </row>
    <row r="70" spans="1:1">
      <c r="A70" s="103"/>
    </row>
    <row r="71" spans="1:1">
      <c r="A71" s="103"/>
    </row>
    <row r="72" spans="1:1">
      <c r="A72" s="103"/>
    </row>
    <row r="73" spans="1:1">
      <c r="A73" s="103"/>
    </row>
    <row r="74" spans="1:1">
      <c r="A74" s="103"/>
    </row>
    <row r="75" spans="1:1">
      <c r="A75" s="103"/>
    </row>
    <row r="76" spans="1:1">
      <c r="A76" s="103"/>
    </row>
    <row r="77" spans="1:1">
      <c r="A77" s="103"/>
    </row>
    <row r="78" spans="1:1">
      <c r="A78" s="103"/>
    </row>
    <row r="79" spans="1:1">
      <c r="A79" s="103"/>
    </row>
    <row r="80" spans="1:1">
      <c r="A80" s="103"/>
    </row>
    <row r="81" spans="1:1">
      <c r="A81" s="103"/>
    </row>
    <row r="82" spans="1:1">
      <c r="A82" s="103"/>
    </row>
    <row r="83" spans="1:1">
      <c r="A83" s="103"/>
    </row>
    <row r="84" spans="1:1">
      <c r="A84" s="103"/>
    </row>
    <row r="85" spans="1:1">
      <c r="A85" s="103"/>
    </row>
    <row r="86" spans="1:1">
      <c r="A86" s="103"/>
    </row>
    <row r="87" spans="1:1">
      <c r="A87" s="103"/>
    </row>
    <row r="88" spans="1:1">
      <c r="A88" s="103"/>
    </row>
    <row r="89" spans="1:1">
      <c r="A89" s="103"/>
    </row>
    <row r="90" spans="1:1">
      <c r="A90" s="103"/>
    </row>
    <row r="91" spans="1:1">
      <c r="A91" s="103"/>
    </row>
    <row r="92" spans="1:1">
      <c r="A92" s="103"/>
    </row>
    <row r="93" spans="1:1">
      <c r="A93" s="103"/>
    </row>
    <row r="94" spans="1:1">
      <c r="A94" s="103"/>
    </row>
    <row r="95" spans="1:1">
      <c r="A95" s="103"/>
    </row>
    <row r="96" spans="1:1">
      <c r="A96" s="103"/>
    </row>
    <row r="97" spans="1:1">
      <c r="A97" s="103"/>
    </row>
    <row r="98" spans="1:1">
      <c r="A98" s="103"/>
    </row>
    <row r="99" spans="1:1">
      <c r="A99" s="103"/>
    </row>
    <row r="100" spans="1:1">
      <c r="A100" s="103"/>
    </row>
    <row r="101" spans="1:1">
      <c r="A101" s="103"/>
    </row>
    <row r="102" spans="1:1">
      <c r="A102" s="103"/>
    </row>
    <row r="103" spans="1:1">
      <c r="A103" s="103"/>
    </row>
    <row r="104" spans="1:1">
      <c r="A104" s="103"/>
    </row>
    <row r="105" spans="1:1">
      <c r="A105" s="103"/>
    </row>
    <row r="106" spans="1:1">
      <c r="A106" s="103"/>
    </row>
    <row r="107" spans="1:1">
      <c r="A107" s="103"/>
    </row>
    <row r="108" spans="1:1">
      <c r="A108" s="103"/>
    </row>
    <row r="109" spans="1:1">
      <c r="A109" s="103"/>
    </row>
    <row r="110" spans="1:1">
      <c r="A110" s="103"/>
    </row>
    <row r="111" spans="1:1">
      <c r="A111" s="103"/>
    </row>
    <row r="112" spans="1:1">
      <c r="A112" s="103"/>
    </row>
    <row r="113" spans="1:1">
      <c r="A113" s="103"/>
    </row>
    <row r="114" spans="1:1">
      <c r="A114" s="103"/>
    </row>
    <row r="115" spans="1:1">
      <c r="A115" s="103"/>
    </row>
    <row r="116" spans="1:1">
      <c r="A116" s="103"/>
    </row>
    <row r="117" spans="1:1">
      <c r="A117" s="103"/>
    </row>
    <row r="118" spans="1:1">
      <c r="A118" s="103"/>
    </row>
    <row r="119" spans="1:1">
      <c r="A119" s="103"/>
    </row>
    <row r="120" spans="1:1">
      <c r="A120" s="103"/>
    </row>
    <row r="121" spans="1:1">
      <c r="A121" s="103"/>
    </row>
    <row r="122" spans="1:1">
      <c r="A122" s="103"/>
    </row>
    <row r="123" spans="1:1">
      <c r="A123" s="103"/>
    </row>
    <row r="124" spans="1:1">
      <c r="A124" s="103"/>
    </row>
    <row r="125" spans="1:1">
      <c r="A125" s="103"/>
    </row>
  </sheetData>
  <customSheetViews>
    <customSheetView guid="{5826E3E6-173D-429F-ABE1-D868EE9E034B}" scale="78" showGridLines="0" fitToPage="1" hiddenRows="1" topLeftCell="J1">
      <selection activeCell="U31" sqref="U31"/>
      <pageMargins left="0" right="0" top="0" bottom="0" header="0" footer="0"/>
      <pageSetup paperSize="9" scale="79" orientation="landscape" horizontalDpi="1200" verticalDpi="1200" r:id="rId1"/>
    </customSheetView>
  </customSheetViews>
  <mergeCells count="3">
    <mergeCell ref="A5:B5"/>
    <mergeCell ref="A1:B1"/>
    <mergeCell ref="I2:K2"/>
  </mergeCells>
  <pageMargins left="0.70866141732283472" right="0.70866141732283472" top="0.74803149606299213" bottom="0.74803149606299213" header="0.31496062992125984" footer="0.31496062992125984"/>
  <pageSetup paperSize="9" scale="79"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V57"/>
  <sheetViews>
    <sheetView workbookViewId="0"/>
  </sheetViews>
  <sheetFormatPr defaultRowHeight="12.75"/>
  <sheetData>
    <row r="2" spans="1:20">
      <c r="A2" s="1648" t="e">
        <f>#REF!</f>
        <v>#REF!</v>
      </c>
      <c r="B2" s="1648"/>
      <c r="C2" s="1648"/>
      <c r="D2" s="1648"/>
      <c r="P2" s="46" t="e">
        <f>#REF!</f>
        <v>#REF!</v>
      </c>
    </row>
    <row r="3" spans="1:20">
      <c r="A3" s="1648" t="s">
        <v>435</v>
      </c>
      <c r="B3" s="1648"/>
      <c r="C3" s="1648"/>
      <c r="D3" s="1648"/>
      <c r="E3" s="4"/>
      <c r="F3" s="4"/>
      <c r="G3" s="43"/>
      <c r="H3" s="43">
        <f>+G3+1</f>
        <v>1</v>
      </c>
      <c r="I3" s="43">
        <f t="shared" ref="I3:Q3" si="0">+H3+1</f>
        <v>2</v>
      </c>
      <c r="J3" s="43">
        <f t="shared" si="0"/>
        <v>3</v>
      </c>
      <c r="K3" s="43">
        <f t="shared" si="0"/>
        <v>4</v>
      </c>
      <c r="L3" s="43">
        <f t="shared" si="0"/>
        <v>5</v>
      </c>
      <c r="M3" s="43">
        <f t="shared" si="0"/>
        <v>6</v>
      </c>
      <c r="N3" s="43">
        <f t="shared" si="0"/>
        <v>7</v>
      </c>
      <c r="O3" s="43">
        <f t="shared" si="0"/>
        <v>8</v>
      </c>
      <c r="P3" s="43">
        <f t="shared" si="0"/>
        <v>9</v>
      </c>
      <c r="Q3" s="43">
        <f t="shared" si="0"/>
        <v>10</v>
      </c>
    </row>
    <row r="4" spans="1:20">
      <c r="E4" s="3" t="s">
        <v>447</v>
      </c>
      <c r="F4" s="37">
        <v>2005</v>
      </c>
      <c r="G4" s="112">
        <v>2006</v>
      </c>
      <c r="H4" s="112">
        <f>G4+1</f>
        <v>2007</v>
      </c>
      <c r="I4" s="112">
        <f t="shared" ref="I4:P4" si="1">H4+1</f>
        <v>2008</v>
      </c>
      <c r="J4" s="112">
        <f t="shared" si="1"/>
        <v>2009</v>
      </c>
      <c r="K4" s="112">
        <f t="shared" si="1"/>
        <v>2010</v>
      </c>
      <c r="L4" s="112">
        <f t="shared" si="1"/>
        <v>2011</v>
      </c>
      <c r="M4" s="112">
        <f t="shared" si="1"/>
        <v>2012</v>
      </c>
      <c r="N4" s="112">
        <f t="shared" si="1"/>
        <v>2013</v>
      </c>
      <c r="O4" s="112">
        <f t="shared" si="1"/>
        <v>2014</v>
      </c>
      <c r="P4" s="112">
        <f t="shared" si="1"/>
        <v>2015</v>
      </c>
      <c r="Q4" s="113">
        <f>P4+1</f>
        <v>2016</v>
      </c>
      <c r="R4" t="s">
        <v>954</v>
      </c>
    </row>
    <row r="5" spans="1:20">
      <c r="A5" t="s">
        <v>436</v>
      </c>
      <c r="C5">
        <v>1</v>
      </c>
      <c r="D5" s="14"/>
      <c r="E5" s="14"/>
      <c r="F5">
        <v>14268</v>
      </c>
      <c r="G5" s="14">
        <v>15664</v>
      </c>
      <c r="H5" s="14">
        <v>20602</v>
      </c>
      <c r="I5" s="14">
        <v>22979</v>
      </c>
      <c r="J5" s="14">
        <v>24247</v>
      </c>
      <c r="K5" s="14">
        <v>24837</v>
      </c>
      <c r="L5" s="14">
        <v>23514</v>
      </c>
      <c r="M5" s="14">
        <v>22339</v>
      </c>
      <c r="N5" s="14">
        <v>22645</v>
      </c>
      <c r="O5" s="14">
        <v>23351</v>
      </c>
      <c r="P5" s="14">
        <v>23731</v>
      </c>
      <c r="Q5" s="36"/>
      <c r="R5" s="14">
        <f>P5/$P$11</f>
        <v>337567.56756756757</v>
      </c>
      <c r="S5" s="14"/>
      <c r="T5" s="14"/>
    </row>
    <row r="6" spans="1:20">
      <c r="A6" t="s">
        <v>437</v>
      </c>
      <c r="C6">
        <v>2</v>
      </c>
      <c r="D6" s="14"/>
      <c r="E6" s="14"/>
      <c r="F6">
        <v>12357</v>
      </c>
      <c r="G6" s="14">
        <v>12352</v>
      </c>
      <c r="H6" s="14">
        <v>18542</v>
      </c>
      <c r="I6" s="14">
        <v>20546</v>
      </c>
      <c r="J6" s="14">
        <v>21036</v>
      </c>
      <c r="K6" s="14">
        <v>21464</v>
      </c>
      <c r="L6" s="14">
        <v>20083</v>
      </c>
      <c r="M6" s="14">
        <v>18740</v>
      </c>
      <c r="N6" s="14">
        <v>18333</v>
      </c>
      <c r="O6" s="14">
        <v>20267</v>
      </c>
      <c r="P6" s="14">
        <v>19012</v>
      </c>
      <c r="Q6" s="36"/>
      <c r="R6" s="14"/>
      <c r="S6" s="14"/>
      <c r="T6" s="14"/>
    </row>
    <row r="7" spans="1:20">
      <c r="A7" t="s">
        <v>438</v>
      </c>
      <c r="C7">
        <v>3</v>
      </c>
      <c r="D7" s="14"/>
      <c r="E7" s="14"/>
      <c r="F7">
        <f>20804/2</f>
        <v>10402</v>
      </c>
      <c r="G7" s="14">
        <v>12448</v>
      </c>
      <c r="H7" s="14">
        <f>36629/2</f>
        <v>18314.5</v>
      </c>
      <c r="I7" s="14">
        <f>41689/2</f>
        <v>20844.5</v>
      </c>
      <c r="J7" s="14">
        <f>43381/2</f>
        <v>21690.5</v>
      </c>
      <c r="K7" s="14">
        <f>39808/2</f>
        <v>19904</v>
      </c>
      <c r="L7" s="14">
        <f>33170/2</f>
        <v>16585</v>
      </c>
      <c r="M7" s="14">
        <v>14634</v>
      </c>
      <c r="N7" s="14">
        <v>15816.5</v>
      </c>
      <c r="O7" s="14">
        <f>34177/2</f>
        <v>17088.5</v>
      </c>
      <c r="P7" s="14">
        <f>35548/2</f>
        <v>17774</v>
      </c>
      <c r="Q7" s="36"/>
      <c r="R7" s="14"/>
      <c r="S7" s="14"/>
      <c r="T7" s="14"/>
    </row>
    <row r="8" spans="1:20">
      <c r="C8">
        <v>4</v>
      </c>
      <c r="D8" s="14"/>
      <c r="E8" s="14"/>
      <c r="F8" s="14">
        <f t="shared" ref="F8:M8" si="2">+F7</f>
        <v>10402</v>
      </c>
      <c r="G8" s="14">
        <f t="shared" si="2"/>
        <v>12448</v>
      </c>
      <c r="H8" s="14">
        <f t="shared" si="2"/>
        <v>18314.5</v>
      </c>
      <c r="I8" s="14">
        <f t="shared" si="2"/>
        <v>20844.5</v>
      </c>
      <c r="J8" s="14">
        <f t="shared" si="2"/>
        <v>21690.5</v>
      </c>
      <c r="K8" s="14">
        <f t="shared" si="2"/>
        <v>19904</v>
      </c>
      <c r="L8" s="14">
        <f t="shared" si="2"/>
        <v>16585</v>
      </c>
      <c r="M8" s="14">
        <f t="shared" si="2"/>
        <v>14634</v>
      </c>
      <c r="N8" s="14">
        <f>+N7</f>
        <v>15816.5</v>
      </c>
      <c r="O8" s="14">
        <f>+O7</f>
        <v>17088.5</v>
      </c>
      <c r="P8" s="14">
        <f>+P7</f>
        <v>17774</v>
      </c>
      <c r="Q8" s="36"/>
      <c r="R8" s="14"/>
      <c r="S8" s="14"/>
      <c r="T8" s="14"/>
    </row>
    <row r="9" spans="1:20">
      <c r="A9" t="s">
        <v>439</v>
      </c>
      <c r="C9">
        <v>5</v>
      </c>
      <c r="D9" s="14"/>
      <c r="E9" s="14"/>
      <c r="F9" s="14">
        <f t="shared" ref="F9:M9" si="3">F8</f>
        <v>10402</v>
      </c>
      <c r="G9" s="14">
        <f t="shared" si="3"/>
        <v>12448</v>
      </c>
      <c r="H9" s="14">
        <f t="shared" si="3"/>
        <v>18314.5</v>
      </c>
      <c r="I9" s="14">
        <f t="shared" si="3"/>
        <v>20844.5</v>
      </c>
      <c r="J9" s="14">
        <f t="shared" si="3"/>
        <v>21690.5</v>
      </c>
      <c r="K9" s="14">
        <f t="shared" si="3"/>
        <v>19904</v>
      </c>
      <c r="L9" s="14">
        <f t="shared" si="3"/>
        <v>16585</v>
      </c>
      <c r="M9" s="14">
        <f t="shared" si="3"/>
        <v>14634</v>
      </c>
      <c r="N9" s="14">
        <f>N8</f>
        <v>15816.5</v>
      </c>
      <c r="O9" s="14">
        <f>O8</f>
        <v>17088.5</v>
      </c>
      <c r="P9" s="14">
        <f>P8</f>
        <v>17774</v>
      </c>
      <c r="Q9" s="36"/>
      <c r="R9" s="14">
        <f>SUM(P5:P9)</f>
        <v>96065</v>
      </c>
      <c r="S9" s="14"/>
      <c r="T9" s="14"/>
    </row>
    <row r="10" spans="1:20">
      <c r="D10" s="14"/>
      <c r="E10" s="14"/>
      <c r="G10" s="14"/>
      <c r="H10" s="14"/>
      <c r="I10" s="14"/>
      <c r="J10" s="14"/>
      <c r="K10" s="14"/>
      <c r="L10" s="14"/>
      <c r="M10" s="14"/>
      <c r="N10" s="14"/>
      <c r="O10" s="14"/>
      <c r="P10" s="14"/>
      <c r="Q10" s="36"/>
      <c r="R10" s="14"/>
      <c r="S10" s="14"/>
      <c r="T10" s="14"/>
    </row>
    <row r="11" spans="1:20">
      <c r="A11" t="s">
        <v>440</v>
      </c>
      <c r="D11" s="14"/>
      <c r="E11" s="14"/>
      <c r="F11" s="17">
        <v>7.0300000000000001E-2</v>
      </c>
      <c r="G11" s="17">
        <v>7.0300000000000001E-2</v>
      </c>
      <c r="H11" s="17">
        <v>7.0300000000000001E-2</v>
      </c>
      <c r="I11" s="17">
        <v>7.0300000000000001E-2</v>
      </c>
      <c r="J11" s="17">
        <v>7.0300000000000001E-2</v>
      </c>
      <c r="K11" s="17">
        <v>7.0300000000000001E-2</v>
      </c>
      <c r="L11" s="17">
        <v>7.0300000000000001E-2</v>
      </c>
      <c r="M11" s="17">
        <v>7.0300000000000001E-2</v>
      </c>
      <c r="N11" s="17">
        <v>7.0300000000000001E-2</v>
      </c>
      <c r="O11" s="17">
        <v>7.0300000000000001E-2</v>
      </c>
      <c r="P11" s="17">
        <v>7.0300000000000001E-2</v>
      </c>
      <c r="Q11" s="36"/>
      <c r="R11" s="14"/>
      <c r="S11" s="14"/>
      <c r="T11" s="14"/>
    </row>
    <row r="12" spans="1:20">
      <c r="D12" s="14"/>
      <c r="E12" s="14"/>
      <c r="F12" s="14"/>
      <c r="G12" s="14"/>
      <c r="H12" s="14"/>
      <c r="I12" s="14"/>
      <c r="J12" s="14"/>
      <c r="K12" s="14"/>
      <c r="L12" s="14"/>
      <c r="M12" s="14"/>
      <c r="N12" s="14"/>
      <c r="O12" s="14"/>
      <c r="P12" s="14"/>
      <c r="Q12" s="36"/>
      <c r="R12" s="14"/>
      <c r="S12" s="14"/>
      <c r="T12" s="14"/>
    </row>
    <row r="13" spans="1:20">
      <c r="A13" t="s">
        <v>441</v>
      </c>
      <c r="C13">
        <v>1</v>
      </c>
      <c r="D13" s="14"/>
      <c r="E13" s="14"/>
      <c r="F13" s="77">
        <f t="shared" ref="F13:N13" si="4">1/(1+F$11)^($C$13-0.5)</f>
        <v>0.96660099373012809</v>
      </c>
      <c r="G13" s="77">
        <f t="shared" si="4"/>
        <v>0.96660099373012809</v>
      </c>
      <c r="H13" s="77">
        <f t="shared" si="4"/>
        <v>0.96660099373012809</v>
      </c>
      <c r="I13" s="77">
        <f t="shared" si="4"/>
        <v>0.96660099373012809</v>
      </c>
      <c r="J13" s="77">
        <f t="shared" si="4"/>
        <v>0.96660099373012809</v>
      </c>
      <c r="K13" s="77">
        <f t="shared" si="4"/>
        <v>0.96660099373012809</v>
      </c>
      <c r="L13" s="77">
        <f t="shared" si="4"/>
        <v>0.96660099373012809</v>
      </c>
      <c r="M13" s="77">
        <f t="shared" si="4"/>
        <v>0.96660099373012809</v>
      </c>
      <c r="N13" s="77">
        <f t="shared" si="4"/>
        <v>0.96660099373012809</v>
      </c>
      <c r="O13" s="77">
        <f>1/(1+O$11)^($C$13-0.5)</f>
        <v>0.96660099373012809</v>
      </c>
      <c r="P13" s="77">
        <f>1/(1+P$11)^($C$13-0.5)</f>
        <v>0.96660099373012809</v>
      </c>
      <c r="Q13" s="36"/>
      <c r="R13" s="14"/>
      <c r="S13" s="14"/>
      <c r="T13" s="14"/>
    </row>
    <row r="14" spans="1:20">
      <c r="C14">
        <v>2</v>
      </c>
      <c r="D14" s="14"/>
      <c r="E14" s="14"/>
      <c r="F14" s="77">
        <f>1/(1+$F$11)^($C$14-0.5)</f>
        <v>0.90311220567142669</v>
      </c>
      <c r="G14" s="77">
        <f t="shared" ref="G14:P14" si="5">1/(1+$F$11)^($C$14-0.5)</f>
        <v>0.90311220567142669</v>
      </c>
      <c r="H14" s="77">
        <f t="shared" si="5"/>
        <v>0.90311220567142669</v>
      </c>
      <c r="I14" s="77">
        <f t="shared" si="5"/>
        <v>0.90311220567142669</v>
      </c>
      <c r="J14" s="77">
        <f t="shared" si="5"/>
        <v>0.90311220567142669</v>
      </c>
      <c r="K14" s="77">
        <f t="shared" si="5"/>
        <v>0.90311220567142669</v>
      </c>
      <c r="L14" s="77">
        <f t="shared" si="5"/>
        <v>0.90311220567142669</v>
      </c>
      <c r="M14" s="77">
        <f t="shared" si="5"/>
        <v>0.90311220567142669</v>
      </c>
      <c r="N14" s="77">
        <f t="shared" si="5"/>
        <v>0.90311220567142669</v>
      </c>
      <c r="O14" s="77">
        <f t="shared" si="5"/>
        <v>0.90311220567142669</v>
      </c>
      <c r="P14" s="77">
        <f t="shared" si="5"/>
        <v>0.90311220567142669</v>
      </c>
      <c r="Q14" s="36"/>
      <c r="R14" s="14"/>
      <c r="S14" s="14"/>
      <c r="T14" s="14"/>
    </row>
    <row r="15" spans="1:20">
      <c r="C15">
        <v>3</v>
      </c>
      <c r="D15" s="14"/>
      <c r="E15" s="14"/>
      <c r="F15" s="77">
        <f>1/(1+$F$11)^($C$15-0.5)</f>
        <v>0.84379352113559425</v>
      </c>
      <c r="G15" s="77">
        <f t="shared" ref="G15:P15" si="6">1/(1+$F$11)^($C$15-0.5)</f>
        <v>0.84379352113559425</v>
      </c>
      <c r="H15" s="77">
        <f t="shared" si="6"/>
        <v>0.84379352113559425</v>
      </c>
      <c r="I15" s="77">
        <f t="shared" si="6"/>
        <v>0.84379352113559425</v>
      </c>
      <c r="J15" s="77">
        <f t="shared" si="6"/>
        <v>0.84379352113559425</v>
      </c>
      <c r="K15" s="77">
        <f t="shared" si="6"/>
        <v>0.84379352113559425</v>
      </c>
      <c r="L15" s="77">
        <f t="shared" si="6"/>
        <v>0.84379352113559425</v>
      </c>
      <c r="M15" s="77">
        <f t="shared" si="6"/>
        <v>0.84379352113559425</v>
      </c>
      <c r="N15" s="77">
        <f t="shared" si="6"/>
        <v>0.84379352113559425</v>
      </c>
      <c r="O15" s="77">
        <f t="shared" si="6"/>
        <v>0.84379352113559425</v>
      </c>
      <c r="P15" s="77">
        <f t="shared" si="6"/>
        <v>0.84379352113559425</v>
      </c>
      <c r="Q15" s="36"/>
      <c r="R15" s="14"/>
      <c r="S15" s="14"/>
      <c r="T15" s="14"/>
    </row>
    <row r="16" spans="1:20">
      <c r="C16">
        <v>4</v>
      </c>
      <c r="D16" s="14"/>
      <c r="E16" s="14"/>
      <c r="F16" s="77">
        <f>1/(1+$F$11)^($C$16-0.5)</f>
        <v>0.78837103721909219</v>
      </c>
      <c r="G16" s="77">
        <f t="shared" ref="G16:P16" si="7">1/(1+$F$11)^($C$16-0.5)</f>
        <v>0.78837103721909219</v>
      </c>
      <c r="H16" s="77">
        <f t="shared" si="7"/>
        <v>0.78837103721909219</v>
      </c>
      <c r="I16" s="77">
        <f t="shared" si="7"/>
        <v>0.78837103721909219</v>
      </c>
      <c r="J16" s="77">
        <f t="shared" si="7"/>
        <v>0.78837103721909219</v>
      </c>
      <c r="K16" s="77">
        <f t="shared" si="7"/>
        <v>0.78837103721909219</v>
      </c>
      <c r="L16" s="77">
        <f t="shared" si="7"/>
        <v>0.78837103721909219</v>
      </c>
      <c r="M16" s="77">
        <f t="shared" si="7"/>
        <v>0.78837103721909219</v>
      </c>
      <c r="N16" s="77">
        <f t="shared" si="7"/>
        <v>0.78837103721909219</v>
      </c>
      <c r="O16" s="77">
        <f t="shared" si="7"/>
        <v>0.78837103721909219</v>
      </c>
      <c r="P16" s="77">
        <f t="shared" si="7"/>
        <v>0.78837103721909219</v>
      </c>
      <c r="Q16" s="36"/>
      <c r="R16" s="14"/>
      <c r="S16" s="14"/>
      <c r="T16" s="14"/>
    </row>
    <row r="17" spans="1:22">
      <c r="C17">
        <v>5</v>
      </c>
      <c r="D17" s="14"/>
      <c r="E17" s="14"/>
      <c r="F17" s="77">
        <f>1/(1+$F$11)^($C$17-0.5)</f>
        <v>0.73658884165102512</v>
      </c>
      <c r="G17" s="77">
        <f t="shared" ref="G17:P17" si="8">1/(1+$F$11)^($C$17-0.5)</f>
        <v>0.73658884165102512</v>
      </c>
      <c r="H17" s="77">
        <f t="shared" si="8"/>
        <v>0.73658884165102512</v>
      </c>
      <c r="I17" s="77">
        <f t="shared" si="8"/>
        <v>0.73658884165102512</v>
      </c>
      <c r="J17" s="77">
        <f t="shared" si="8"/>
        <v>0.73658884165102512</v>
      </c>
      <c r="K17" s="77">
        <f t="shared" si="8"/>
        <v>0.73658884165102512</v>
      </c>
      <c r="L17" s="77">
        <f t="shared" si="8"/>
        <v>0.73658884165102512</v>
      </c>
      <c r="M17" s="77">
        <f t="shared" si="8"/>
        <v>0.73658884165102512</v>
      </c>
      <c r="N17" s="77">
        <f t="shared" si="8"/>
        <v>0.73658884165102512</v>
      </c>
      <c r="O17" s="77">
        <f t="shared" si="8"/>
        <v>0.73658884165102512</v>
      </c>
      <c r="P17" s="77">
        <f t="shared" si="8"/>
        <v>0.73658884165102512</v>
      </c>
      <c r="Q17" s="36"/>
      <c r="R17" s="14"/>
      <c r="S17" s="14"/>
      <c r="T17" s="14"/>
    </row>
    <row r="18" spans="1:22">
      <c r="D18" s="14"/>
      <c r="E18" s="14"/>
      <c r="F18" s="14"/>
      <c r="G18" s="14"/>
      <c r="H18" s="14"/>
      <c r="I18" s="14"/>
      <c r="J18" s="14"/>
      <c r="K18" s="14"/>
      <c r="L18" s="14"/>
      <c r="M18" s="14"/>
      <c r="N18" s="14"/>
      <c r="O18" s="14"/>
      <c r="P18" s="14"/>
      <c r="Q18" s="36"/>
      <c r="R18" s="14"/>
      <c r="S18" s="14"/>
      <c r="T18" s="14"/>
    </row>
    <row r="19" spans="1:22">
      <c r="A19" t="s">
        <v>442</v>
      </c>
      <c r="D19" s="14"/>
      <c r="E19" s="14"/>
      <c r="F19" s="14">
        <f t="shared" ref="F19:O23" si="9">F13*F5</f>
        <v>13791.462978541467</v>
      </c>
      <c r="G19" s="14">
        <f t="shared" si="9"/>
        <v>15140.837965788727</v>
      </c>
      <c r="H19" s="14">
        <f t="shared" si="9"/>
        <v>19913.913672828097</v>
      </c>
      <c r="I19" s="14">
        <f t="shared" si="9"/>
        <v>22211.524234924615</v>
      </c>
      <c r="J19" s="14">
        <f t="shared" si="9"/>
        <v>23437.174294974415</v>
      </c>
      <c r="K19" s="14">
        <f t="shared" si="9"/>
        <v>24007.468881275192</v>
      </c>
      <c r="L19" s="14">
        <f t="shared" si="9"/>
        <v>22728.655766570231</v>
      </c>
      <c r="M19" s="14">
        <f t="shared" si="9"/>
        <v>21592.899598937332</v>
      </c>
      <c r="N19" s="14">
        <f t="shared" si="9"/>
        <v>21888.67950301875</v>
      </c>
      <c r="O19" s="14">
        <f t="shared" si="9"/>
        <v>22571.099804592221</v>
      </c>
      <c r="P19" s="14">
        <f>P13*P5</f>
        <v>22938.40818220967</v>
      </c>
      <c r="Q19" s="36"/>
      <c r="R19" s="14"/>
      <c r="S19" s="14"/>
      <c r="T19" s="14"/>
    </row>
    <row r="20" spans="1:22">
      <c r="D20" s="14"/>
      <c r="E20" s="14"/>
      <c r="F20" s="14">
        <f t="shared" si="9"/>
        <v>11159.75752548182</v>
      </c>
      <c r="G20" s="14">
        <f t="shared" si="9"/>
        <v>11155.241964453462</v>
      </c>
      <c r="H20" s="14">
        <f t="shared" si="9"/>
        <v>16745.506517559596</v>
      </c>
      <c r="I20" s="14">
        <f t="shared" si="9"/>
        <v>18555.343377725134</v>
      </c>
      <c r="J20" s="14">
        <f t="shared" si="9"/>
        <v>18997.868358504133</v>
      </c>
      <c r="K20" s="14">
        <f t="shared" si="9"/>
        <v>19384.400382531501</v>
      </c>
      <c r="L20" s="14">
        <f t="shared" si="9"/>
        <v>18137.202426499261</v>
      </c>
      <c r="M20" s="14">
        <f t="shared" si="9"/>
        <v>16924.322734282538</v>
      </c>
      <c r="N20" s="14">
        <f t="shared" si="9"/>
        <v>16556.756066574264</v>
      </c>
      <c r="O20" s="14">
        <f t="shared" si="9"/>
        <v>18303.375072342806</v>
      </c>
      <c r="P20" s="14">
        <f>P14*P6</f>
        <v>17169.969254225165</v>
      </c>
      <c r="Q20" s="36"/>
      <c r="R20" s="14"/>
      <c r="S20" s="14"/>
      <c r="T20" s="14"/>
    </row>
    <row r="21" spans="1:22">
      <c r="D21" s="14"/>
      <c r="E21" s="14"/>
      <c r="F21" s="14">
        <f t="shared" si="9"/>
        <v>8777.1402068524512</v>
      </c>
      <c r="G21" s="14">
        <f t="shared" si="9"/>
        <v>10503.541751095878</v>
      </c>
      <c r="H21" s="14">
        <f t="shared" si="9"/>
        <v>15453.656442837841</v>
      </c>
      <c r="I21" s="14">
        <f t="shared" si="9"/>
        <v>17588.454051310895</v>
      </c>
      <c r="J21" s="14">
        <f t="shared" si="9"/>
        <v>18302.303370191607</v>
      </c>
      <c r="K21" s="14">
        <f t="shared" si="9"/>
        <v>16794.866244682868</v>
      </c>
      <c r="L21" s="14">
        <f t="shared" si="9"/>
        <v>13994.31554803383</v>
      </c>
      <c r="M21" s="14">
        <f t="shared" si="9"/>
        <v>12348.074388298286</v>
      </c>
      <c r="N21" s="14">
        <f t="shared" si="9"/>
        <v>13345.860227041127</v>
      </c>
      <c r="O21" s="14">
        <f t="shared" si="9"/>
        <v>14419.165585925602</v>
      </c>
      <c r="P21" s="14">
        <f>P15*P7</f>
        <v>14997.586044664053</v>
      </c>
      <c r="Q21" s="36"/>
      <c r="R21" s="14"/>
      <c r="S21" s="14"/>
      <c r="T21" s="14"/>
    </row>
    <row r="22" spans="1:22">
      <c r="D22" s="14"/>
      <c r="E22" s="14"/>
      <c r="F22" s="14">
        <f t="shared" si="9"/>
        <v>8200.6355291529962</v>
      </c>
      <c r="G22" s="14">
        <f t="shared" si="9"/>
        <v>9813.6426713032597</v>
      </c>
      <c r="H22" s="14">
        <f t="shared" si="9"/>
        <v>14438.621361149064</v>
      </c>
      <c r="I22" s="14">
        <f t="shared" si="9"/>
        <v>16433.200085313369</v>
      </c>
      <c r="J22" s="14">
        <f t="shared" si="9"/>
        <v>17100.161982800721</v>
      </c>
      <c r="K22" s="14">
        <f t="shared" si="9"/>
        <v>15691.737124808811</v>
      </c>
      <c r="L22" s="14">
        <f t="shared" si="9"/>
        <v>13075.133652278644</v>
      </c>
      <c r="M22" s="14">
        <f t="shared" si="9"/>
        <v>11537.021758664196</v>
      </c>
      <c r="N22" s="14">
        <f t="shared" si="9"/>
        <v>12469.270510175771</v>
      </c>
      <c r="O22" s="14">
        <f t="shared" si="9"/>
        <v>13472.078469518457</v>
      </c>
      <c r="P22" s="14">
        <f>P16*P8</f>
        <v>14012.506815532144</v>
      </c>
      <c r="Q22" s="36"/>
      <c r="R22" s="14"/>
      <c r="S22" s="14"/>
      <c r="T22" s="14"/>
    </row>
    <row r="23" spans="1:22">
      <c r="D23" s="14"/>
      <c r="E23" s="14"/>
      <c r="F23" s="18">
        <f t="shared" si="9"/>
        <v>7661.9971308539634</v>
      </c>
      <c r="G23" s="18">
        <f t="shared" si="9"/>
        <v>9169.0579008719615</v>
      </c>
      <c r="H23" s="18">
        <f t="shared" si="9"/>
        <v>13490.2563404177</v>
      </c>
      <c r="I23" s="18">
        <f t="shared" si="9"/>
        <v>15353.826109794793</v>
      </c>
      <c r="J23" s="18">
        <f t="shared" si="9"/>
        <v>15976.98026983156</v>
      </c>
      <c r="K23" s="18">
        <f t="shared" si="9"/>
        <v>14661.064304222004</v>
      </c>
      <c r="L23" s="18">
        <f t="shared" si="9"/>
        <v>12216.325938782251</v>
      </c>
      <c r="M23" s="18">
        <f t="shared" si="9"/>
        <v>10779.241108721102</v>
      </c>
      <c r="N23" s="18">
        <f t="shared" si="9"/>
        <v>11650.257413973439</v>
      </c>
      <c r="O23" s="18">
        <f t="shared" si="9"/>
        <v>12587.198420553543</v>
      </c>
      <c r="P23" s="18">
        <f>P17*P9</f>
        <v>13092.13007150532</v>
      </c>
      <c r="Q23" s="36"/>
      <c r="R23" s="14"/>
      <c r="S23" s="14"/>
      <c r="T23" s="14"/>
    </row>
    <row r="24" spans="1:22">
      <c r="D24" s="14"/>
      <c r="E24" s="14"/>
      <c r="F24" s="14">
        <f t="shared" ref="F24:O24" si="10">SUM(F19:F23)</f>
        <v>49590.993370882701</v>
      </c>
      <c r="G24" s="14">
        <f t="shared" si="10"/>
        <v>55782.322253513295</v>
      </c>
      <c r="H24" s="14">
        <f t="shared" si="10"/>
        <v>80041.954334792303</v>
      </c>
      <c r="I24" s="14">
        <f t="shared" si="10"/>
        <v>90142.347859068803</v>
      </c>
      <c r="J24" s="14">
        <f t="shared" si="10"/>
        <v>93814.488276302436</v>
      </c>
      <c r="K24" s="14">
        <f t="shared" si="10"/>
        <v>90539.536937520374</v>
      </c>
      <c r="L24" s="14">
        <f t="shared" si="10"/>
        <v>80151.633332164216</v>
      </c>
      <c r="M24" s="14">
        <f t="shared" si="10"/>
        <v>73181.559588903459</v>
      </c>
      <c r="N24" s="14">
        <f t="shared" si="10"/>
        <v>75910.823720783344</v>
      </c>
      <c r="O24" s="14">
        <f t="shared" si="10"/>
        <v>81352.917352932622</v>
      </c>
      <c r="P24" s="14">
        <f>SUM(P19:P23)</f>
        <v>82210.600368136351</v>
      </c>
      <c r="Q24" s="117"/>
      <c r="R24" s="14"/>
    </row>
    <row r="25" spans="1:22">
      <c r="D25" s="14"/>
      <c r="E25" s="14"/>
      <c r="F25" s="14"/>
      <c r="G25" s="14"/>
      <c r="H25" s="14"/>
      <c r="I25" s="14"/>
      <c r="J25" s="14"/>
      <c r="K25" s="14"/>
      <c r="L25" s="14"/>
      <c r="M25" s="14"/>
      <c r="N25" s="14"/>
      <c r="O25" s="14"/>
      <c r="P25" s="14"/>
    </row>
    <row r="26" spans="1:22" ht="15">
      <c r="C26" s="59"/>
      <c r="D26" s="59"/>
      <c r="E26" s="58" t="s">
        <v>443</v>
      </c>
      <c r="F26" s="115">
        <v>2005</v>
      </c>
      <c r="G26" s="115">
        <f t="shared" ref="G26:M26" si="11">F26+1</f>
        <v>2006</v>
      </c>
      <c r="H26" s="115">
        <f t="shared" si="11"/>
        <v>2007</v>
      </c>
      <c r="I26" s="115">
        <f t="shared" si="11"/>
        <v>2008</v>
      </c>
      <c r="J26" s="115">
        <f t="shared" si="11"/>
        <v>2009</v>
      </c>
      <c r="K26" s="115">
        <f t="shared" si="11"/>
        <v>2010</v>
      </c>
      <c r="L26" s="115">
        <f t="shared" si="11"/>
        <v>2011</v>
      </c>
      <c r="M26" s="115">
        <f t="shared" si="11"/>
        <v>2012</v>
      </c>
      <c r="N26" s="115">
        <f>M26+1</f>
        <v>2013</v>
      </c>
      <c r="O26" s="115">
        <f>N26+1</f>
        <v>2014</v>
      </c>
      <c r="P26" s="116" t="s">
        <v>1117</v>
      </c>
      <c r="Q26" s="114"/>
    </row>
    <row r="27" spans="1:22">
      <c r="D27" s="14"/>
      <c r="E27" s="14"/>
      <c r="F27" s="14"/>
      <c r="G27" s="14"/>
      <c r="H27" s="14"/>
      <c r="I27" s="14"/>
      <c r="J27" s="14"/>
      <c r="K27" s="14"/>
      <c r="L27" s="14"/>
      <c r="M27" s="14"/>
      <c r="N27" s="14"/>
      <c r="O27" s="14"/>
      <c r="P27" s="14"/>
      <c r="Q27" s="14"/>
      <c r="R27" s="14"/>
      <c r="S27" s="14"/>
      <c r="T27" s="14"/>
      <c r="U27" s="14"/>
      <c r="V27" s="14"/>
    </row>
    <row r="28" spans="1:22">
      <c r="A28" t="s">
        <v>436</v>
      </c>
      <c r="C28">
        <v>1</v>
      </c>
      <c r="D28" s="14"/>
      <c r="E28" s="14"/>
      <c r="F28" s="14"/>
      <c r="G28" s="14"/>
      <c r="H28" s="14"/>
      <c r="I28" s="14"/>
      <c r="J28" s="14"/>
      <c r="K28" s="14"/>
      <c r="L28" s="14">
        <v>56483</v>
      </c>
      <c r="M28" s="14">
        <v>61573</v>
      </c>
      <c r="N28" s="14">
        <v>92297</v>
      </c>
      <c r="O28" s="14">
        <v>103584</v>
      </c>
      <c r="P28" s="14"/>
      <c r="Q28" s="14"/>
      <c r="R28" s="14"/>
      <c r="S28" s="14"/>
      <c r="T28" s="14"/>
      <c r="U28" s="14"/>
      <c r="V28" s="14"/>
    </row>
    <row r="29" spans="1:22">
      <c r="A29" t="s">
        <v>437</v>
      </c>
      <c r="C29">
        <v>2</v>
      </c>
      <c r="D29" s="14"/>
      <c r="E29" s="14"/>
      <c r="F29" s="14"/>
      <c r="G29" s="14"/>
      <c r="H29" s="14"/>
      <c r="I29" s="14"/>
      <c r="J29" s="14"/>
      <c r="K29" s="14"/>
      <c r="L29" s="14">
        <v>46011</v>
      </c>
      <c r="M29" s="14">
        <v>50283</v>
      </c>
      <c r="N29" s="14">
        <v>70924</v>
      </c>
      <c r="O29" s="14">
        <v>85914</v>
      </c>
      <c r="P29" s="14"/>
      <c r="Q29" s="14"/>
      <c r="R29" s="14"/>
      <c r="S29" s="14"/>
      <c r="T29" s="14"/>
      <c r="U29" s="14"/>
      <c r="V29" s="14"/>
    </row>
    <row r="30" spans="1:22">
      <c r="A30" t="s">
        <v>438</v>
      </c>
      <c r="C30">
        <v>3</v>
      </c>
      <c r="D30" s="14"/>
      <c r="E30" s="14"/>
      <c r="F30" s="14"/>
      <c r="G30" s="14"/>
      <c r="H30" s="14"/>
      <c r="I30" s="14"/>
      <c r="J30" s="14"/>
      <c r="K30" s="14"/>
      <c r="L30" s="14">
        <f>66607/2</f>
        <v>33303.5</v>
      </c>
      <c r="M30" s="14">
        <f>75404/2</f>
        <v>37702</v>
      </c>
      <c r="N30" s="14">
        <f>123272/2</f>
        <v>61636</v>
      </c>
      <c r="O30" s="14">
        <f>207305/2</f>
        <v>103652.5</v>
      </c>
      <c r="P30" s="14"/>
      <c r="Q30" s="14"/>
      <c r="R30" s="14"/>
      <c r="S30" s="14"/>
      <c r="T30" s="14"/>
      <c r="U30" s="14"/>
      <c r="V30" s="14"/>
    </row>
    <row r="31" spans="1:22">
      <c r="C31">
        <v>4</v>
      </c>
      <c r="D31" s="14"/>
      <c r="E31" s="14"/>
      <c r="F31" s="14">
        <f t="shared" ref="F31:M31" si="12">+F30</f>
        <v>0</v>
      </c>
      <c r="G31" s="14">
        <f t="shared" si="12"/>
        <v>0</v>
      </c>
      <c r="H31" s="14">
        <f t="shared" si="12"/>
        <v>0</v>
      </c>
      <c r="I31" s="14">
        <f t="shared" si="12"/>
        <v>0</v>
      </c>
      <c r="J31" s="14">
        <f t="shared" si="12"/>
        <v>0</v>
      </c>
      <c r="K31" s="14">
        <f t="shared" si="12"/>
        <v>0</v>
      </c>
      <c r="L31" s="14">
        <f t="shared" si="12"/>
        <v>33303.5</v>
      </c>
      <c r="M31" s="14">
        <f t="shared" si="12"/>
        <v>37702</v>
      </c>
      <c r="N31" s="14">
        <f>+N30</f>
        <v>61636</v>
      </c>
      <c r="O31" s="14">
        <f>+O30</f>
        <v>103652.5</v>
      </c>
      <c r="P31" s="14"/>
      <c r="Q31" s="14"/>
      <c r="R31" s="14"/>
      <c r="S31" s="14"/>
      <c r="T31" s="14"/>
      <c r="U31" s="14"/>
      <c r="V31" s="14"/>
    </row>
    <row r="32" spans="1:22">
      <c r="A32" t="s">
        <v>439</v>
      </c>
      <c r="C32">
        <v>5</v>
      </c>
      <c r="D32" s="14"/>
      <c r="E32" s="14"/>
      <c r="F32" s="14">
        <f t="shared" ref="F32:M32" si="13">F31</f>
        <v>0</v>
      </c>
      <c r="G32" s="14">
        <f t="shared" si="13"/>
        <v>0</v>
      </c>
      <c r="H32" s="14">
        <f t="shared" si="13"/>
        <v>0</v>
      </c>
      <c r="I32" s="14">
        <f t="shared" si="13"/>
        <v>0</v>
      </c>
      <c r="J32" s="14">
        <f t="shared" si="13"/>
        <v>0</v>
      </c>
      <c r="K32" s="14">
        <f t="shared" si="13"/>
        <v>0</v>
      </c>
      <c r="L32" s="14">
        <f t="shared" si="13"/>
        <v>33303.5</v>
      </c>
      <c r="M32" s="14">
        <f t="shared" si="13"/>
        <v>37702</v>
      </c>
      <c r="N32" s="14">
        <f>N31</f>
        <v>61636</v>
      </c>
      <c r="O32" s="14">
        <f>O31</f>
        <v>103652.5</v>
      </c>
      <c r="P32" s="14"/>
      <c r="Q32" s="14"/>
      <c r="R32" s="14"/>
      <c r="S32" s="14"/>
      <c r="T32" s="14"/>
      <c r="U32" s="14"/>
      <c r="V32" s="14"/>
    </row>
    <row r="33" spans="1:22">
      <c r="D33" s="14"/>
      <c r="E33" s="14"/>
      <c r="F33" s="14"/>
      <c r="G33" s="14"/>
      <c r="H33" s="14"/>
      <c r="I33" s="14"/>
      <c r="J33" s="14"/>
      <c r="K33" s="14"/>
      <c r="L33" s="14"/>
      <c r="M33" s="14"/>
      <c r="N33" s="14"/>
      <c r="O33" s="14"/>
      <c r="P33" s="14"/>
      <c r="Q33" s="14"/>
      <c r="R33" s="14"/>
      <c r="S33" s="14"/>
      <c r="T33" s="14"/>
      <c r="U33" s="14"/>
      <c r="V33" s="14"/>
    </row>
    <row r="34" spans="1:22">
      <c r="A34" t="s">
        <v>440</v>
      </c>
      <c r="D34" s="14"/>
      <c r="E34" s="14"/>
      <c r="F34" s="17">
        <v>7.0300000000000001E-2</v>
      </c>
      <c r="G34" s="17">
        <v>7.0300000000000001E-2</v>
      </c>
      <c r="H34" s="17">
        <v>7.0300000000000001E-2</v>
      </c>
      <c r="I34" s="17">
        <v>7.0300000000000001E-2</v>
      </c>
      <c r="J34" s="17">
        <v>7.0300000000000001E-2</v>
      </c>
      <c r="K34" s="17">
        <v>7.0300000000000001E-2</v>
      </c>
      <c r="L34" s="17">
        <v>7.0300000000000001E-2</v>
      </c>
      <c r="M34" s="17">
        <v>7.0300000000000001E-2</v>
      </c>
      <c r="N34" s="17">
        <v>7.0300000000000001E-2</v>
      </c>
      <c r="O34" s="17">
        <v>7.0300000000000001E-2</v>
      </c>
      <c r="P34" s="14"/>
      <c r="Q34" s="14"/>
      <c r="R34" s="14"/>
      <c r="S34" s="14"/>
      <c r="T34" s="14"/>
      <c r="U34" s="14"/>
      <c r="V34" s="14"/>
    </row>
    <row r="35" spans="1:22">
      <c r="D35" s="14"/>
      <c r="E35" s="14"/>
      <c r="F35" s="14"/>
      <c r="G35" s="14"/>
      <c r="H35" s="14"/>
      <c r="I35" s="14"/>
      <c r="J35" s="14"/>
      <c r="K35" s="14"/>
      <c r="L35" s="14"/>
      <c r="M35" s="14"/>
      <c r="N35" s="14"/>
      <c r="O35" s="14"/>
      <c r="P35" s="14"/>
      <c r="Q35" s="14"/>
      <c r="R35" s="14"/>
      <c r="S35" s="14"/>
      <c r="T35" s="14"/>
      <c r="U35" s="14"/>
      <c r="V35" s="14"/>
    </row>
    <row r="36" spans="1:22">
      <c r="A36" t="s">
        <v>441</v>
      </c>
      <c r="C36">
        <v>1</v>
      </c>
      <c r="D36" s="14"/>
      <c r="E36" s="14"/>
      <c r="F36" s="77">
        <f>1/(1+F$34)^($C$36-0.5)</f>
        <v>0.96660099373012809</v>
      </c>
      <c r="G36" s="77">
        <f t="shared" ref="G36:O36" si="14">1/(1+G$34)^($C$36-0.5)</f>
        <v>0.96660099373012809</v>
      </c>
      <c r="H36" s="77">
        <f t="shared" si="14"/>
        <v>0.96660099373012809</v>
      </c>
      <c r="I36" s="77">
        <f t="shared" si="14"/>
        <v>0.96660099373012809</v>
      </c>
      <c r="J36" s="77">
        <f t="shared" si="14"/>
        <v>0.96660099373012809</v>
      </c>
      <c r="K36" s="77">
        <f t="shared" si="14"/>
        <v>0.96660099373012809</v>
      </c>
      <c r="L36" s="77">
        <f t="shared" si="14"/>
        <v>0.96660099373012809</v>
      </c>
      <c r="M36" s="77">
        <f t="shared" si="14"/>
        <v>0.96660099373012809</v>
      </c>
      <c r="N36" s="77">
        <f t="shared" si="14"/>
        <v>0.96660099373012809</v>
      </c>
      <c r="O36" s="77">
        <f t="shared" si="14"/>
        <v>0.96660099373012809</v>
      </c>
      <c r="P36" s="14"/>
      <c r="Q36" s="14"/>
      <c r="R36" s="14"/>
      <c r="S36" s="14"/>
      <c r="T36" s="14"/>
      <c r="U36" s="14"/>
      <c r="V36" s="14"/>
    </row>
    <row r="37" spans="1:22">
      <c r="C37">
        <v>2</v>
      </c>
      <c r="D37" s="14"/>
      <c r="E37" s="14"/>
      <c r="F37" s="77">
        <f>1/(1+$F$34)^($C$37-0.5)</f>
        <v>0.90311220567142669</v>
      </c>
      <c r="G37" s="77">
        <f t="shared" ref="G37:O37" si="15">1/(1+$F$34)^($C$37-0.5)</f>
        <v>0.90311220567142669</v>
      </c>
      <c r="H37" s="77">
        <f t="shared" si="15"/>
        <v>0.90311220567142669</v>
      </c>
      <c r="I37" s="77">
        <f t="shared" si="15"/>
        <v>0.90311220567142669</v>
      </c>
      <c r="J37" s="77">
        <f t="shared" si="15"/>
        <v>0.90311220567142669</v>
      </c>
      <c r="K37" s="77">
        <f t="shared" si="15"/>
        <v>0.90311220567142669</v>
      </c>
      <c r="L37" s="77">
        <f t="shared" si="15"/>
        <v>0.90311220567142669</v>
      </c>
      <c r="M37" s="77">
        <f t="shared" si="15"/>
        <v>0.90311220567142669</v>
      </c>
      <c r="N37" s="77">
        <f t="shared" si="15"/>
        <v>0.90311220567142669</v>
      </c>
      <c r="O37" s="77">
        <f t="shared" si="15"/>
        <v>0.90311220567142669</v>
      </c>
      <c r="P37" s="14"/>
      <c r="Q37" s="14"/>
      <c r="R37" s="14"/>
      <c r="S37" s="14"/>
      <c r="T37" s="14"/>
      <c r="U37" s="14"/>
      <c r="V37" s="14"/>
    </row>
    <row r="38" spans="1:22">
      <c r="C38">
        <v>3</v>
      </c>
      <c r="D38" s="14"/>
      <c r="E38" s="14"/>
      <c r="F38" s="77">
        <f>1/(1+$F$34)^($C$38-0.5)</f>
        <v>0.84379352113559425</v>
      </c>
      <c r="G38" s="77">
        <f t="shared" ref="G38:O38" si="16">1/(1+$F$34)^($C$38-0.5)</f>
        <v>0.84379352113559425</v>
      </c>
      <c r="H38" s="77">
        <f t="shared" si="16"/>
        <v>0.84379352113559425</v>
      </c>
      <c r="I38" s="77">
        <f t="shared" si="16"/>
        <v>0.84379352113559425</v>
      </c>
      <c r="J38" s="77">
        <f t="shared" si="16"/>
        <v>0.84379352113559425</v>
      </c>
      <c r="K38" s="77">
        <f t="shared" si="16"/>
        <v>0.84379352113559425</v>
      </c>
      <c r="L38" s="77">
        <f t="shared" si="16"/>
        <v>0.84379352113559425</v>
      </c>
      <c r="M38" s="77">
        <f t="shared" si="16"/>
        <v>0.84379352113559425</v>
      </c>
      <c r="N38" s="77">
        <f t="shared" si="16"/>
        <v>0.84379352113559425</v>
      </c>
      <c r="O38" s="77">
        <f t="shared" si="16"/>
        <v>0.84379352113559425</v>
      </c>
      <c r="P38" s="14"/>
      <c r="Q38" s="14"/>
      <c r="R38" s="14"/>
      <c r="S38" s="14"/>
      <c r="T38" s="14"/>
      <c r="U38" s="14"/>
      <c r="V38" s="14"/>
    </row>
    <row r="39" spans="1:22">
      <c r="C39">
        <v>4</v>
      </c>
      <c r="D39" s="14"/>
      <c r="E39" s="14"/>
      <c r="F39" s="77">
        <f>1/(1+$F$34)^($C$39-0.5)</f>
        <v>0.78837103721909219</v>
      </c>
      <c r="G39" s="77">
        <f t="shared" ref="G39:O39" si="17">1/(1+$F$34)^($C$39-0.5)</f>
        <v>0.78837103721909219</v>
      </c>
      <c r="H39" s="77">
        <f t="shared" si="17"/>
        <v>0.78837103721909219</v>
      </c>
      <c r="I39" s="77">
        <f t="shared" si="17"/>
        <v>0.78837103721909219</v>
      </c>
      <c r="J39" s="77">
        <f t="shared" si="17"/>
        <v>0.78837103721909219</v>
      </c>
      <c r="K39" s="77">
        <f t="shared" si="17"/>
        <v>0.78837103721909219</v>
      </c>
      <c r="L39" s="77">
        <f t="shared" si="17"/>
        <v>0.78837103721909219</v>
      </c>
      <c r="M39" s="77">
        <f t="shared" si="17"/>
        <v>0.78837103721909219</v>
      </c>
      <c r="N39" s="77">
        <f t="shared" si="17"/>
        <v>0.78837103721909219</v>
      </c>
      <c r="O39" s="77">
        <f t="shared" si="17"/>
        <v>0.78837103721909219</v>
      </c>
      <c r="P39" s="14"/>
      <c r="Q39" s="14"/>
      <c r="R39" s="14"/>
      <c r="S39" s="14"/>
      <c r="T39" s="14"/>
      <c r="U39" s="14"/>
      <c r="V39" s="14"/>
    </row>
    <row r="40" spans="1:22">
      <c r="C40">
        <v>5</v>
      </c>
      <c r="D40" s="14"/>
      <c r="E40" s="14"/>
      <c r="F40" s="77">
        <f>1/(1+$F$34)^($C$40-0.5)</f>
        <v>0.73658884165102512</v>
      </c>
      <c r="G40" s="77">
        <f t="shared" ref="G40:O40" si="18">1/(1+$F$34)^($C$40-0.5)</f>
        <v>0.73658884165102512</v>
      </c>
      <c r="H40" s="77">
        <f t="shared" si="18"/>
        <v>0.73658884165102512</v>
      </c>
      <c r="I40" s="77">
        <f t="shared" si="18"/>
        <v>0.73658884165102512</v>
      </c>
      <c r="J40" s="77">
        <f t="shared" si="18"/>
        <v>0.73658884165102512</v>
      </c>
      <c r="K40" s="77">
        <f t="shared" si="18"/>
        <v>0.73658884165102512</v>
      </c>
      <c r="L40" s="77">
        <f t="shared" si="18"/>
        <v>0.73658884165102512</v>
      </c>
      <c r="M40" s="77">
        <f t="shared" si="18"/>
        <v>0.73658884165102512</v>
      </c>
      <c r="N40" s="77">
        <f t="shared" si="18"/>
        <v>0.73658884165102512</v>
      </c>
      <c r="O40" s="77">
        <f t="shared" si="18"/>
        <v>0.73658884165102512</v>
      </c>
      <c r="P40" s="14"/>
      <c r="Q40" s="14"/>
      <c r="R40" s="14"/>
      <c r="S40" s="14"/>
      <c r="T40" s="14"/>
      <c r="U40" s="14"/>
      <c r="V40" s="14"/>
    </row>
    <row r="41" spans="1:22">
      <c r="D41" s="14"/>
      <c r="E41" s="14"/>
      <c r="F41" s="14"/>
      <c r="G41" s="14"/>
      <c r="H41" s="14"/>
      <c r="I41" s="14"/>
      <c r="J41" s="14"/>
      <c r="K41" s="14"/>
      <c r="L41" s="14"/>
      <c r="M41" s="14"/>
      <c r="N41" s="14"/>
      <c r="O41" s="14"/>
      <c r="P41" s="14"/>
      <c r="Q41" s="14"/>
      <c r="R41" s="14"/>
      <c r="S41" s="14"/>
      <c r="T41" s="14"/>
      <c r="U41" s="14"/>
      <c r="V41" s="14"/>
    </row>
    <row r="42" spans="1:22">
      <c r="A42" t="s">
        <v>442</v>
      </c>
      <c r="D42" s="14"/>
      <c r="E42" s="14"/>
      <c r="F42" s="14">
        <f t="shared" ref="F42:N46" si="19">F36*F28</f>
        <v>0</v>
      </c>
      <c r="G42" s="14">
        <f t="shared" si="19"/>
        <v>0</v>
      </c>
      <c r="H42" s="14">
        <f t="shared" si="19"/>
        <v>0</v>
      </c>
      <c r="I42" s="14">
        <f t="shared" si="19"/>
        <v>0</v>
      </c>
      <c r="J42" s="14">
        <f t="shared" si="19"/>
        <v>0</v>
      </c>
      <c r="K42" s="14">
        <f t="shared" si="19"/>
        <v>0</v>
      </c>
      <c r="L42" s="14">
        <f t="shared" si="19"/>
        <v>54596.523928858827</v>
      </c>
      <c r="M42" s="14">
        <f t="shared" si="19"/>
        <v>59516.52298694518</v>
      </c>
      <c r="N42" s="14">
        <f t="shared" si="19"/>
        <v>89214.371918309625</v>
      </c>
      <c r="O42" s="14">
        <f>O36*O28</f>
        <v>100124.39733454159</v>
      </c>
      <c r="P42" s="14"/>
      <c r="Q42" s="14"/>
      <c r="R42" s="14"/>
      <c r="S42" s="14"/>
      <c r="T42" s="14"/>
      <c r="U42" s="14"/>
      <c r="V42" s="14"/>
    </row>
    <row r="43" spans="1:22">
      <c r="D43" s="14"/>
      <c r="E43" s="14"/>
      <c r="F43" s="14">
        <f t="shared" si="19"/>
        <v>0</v>
      </c>
      <c r="G43" s="14">
        <f t="shared" si="19"/>
        <v>0</v>
      </c>
      <c r="H43" s="14">
        <f t="shared" si="19"/>
        <v>0</v>
      </c>
      <c r="I43" s="14">
        <f t="shared" si="19"/>
        <v>0</v>
      </c>
      <c r="J43" s="14">
        <f t="shared" si="19"/>
        <v>0</v>
      </c>
      <c r="K43" s="14">
        <f t="shared" si="19"/>
        <v>0</v>
      </c>
      <c r="L43" s="14">
        <f t="shared" si="19"/>
        <v>41553.095695148011</v>
      </c>
      <c r="M43" s="14">
        <f t="shared" si="19"/>
        <v>45411.191037776349</v>
      </c>
      <c r="N43" s="14">
        <f t="shared" si="19"/>
        <v>64052.330075040263</v>
      </c>
      <c r="O43" s="14">
        <f>O37*O29</f>
        <v>77589.98203805495</v>
      </c>
      <c r="P43" s="14"/>
      <c r="Q43" s="14"/>
      <c r="R43" s="14"/>
      <c r="S43" s="14"/>
      <c r="T43" s="14"/>
      <c r="U43" s="14"/>
      <c r="V43" s="14"/>
    </row>
    <row r="44" spans="1:22">
      <c r="D44" s="14"/>
      <c r="E44" s="14"/>
      <c r="F44" s="14">
        <f t="shared" si="19"/>
        <v>0</v>
      </c>
      <c r="G44" s="14">
        <f t="shared" si="19"/>
        <v>0</v>
      </c>
      <c r="H44" s="14">
        <f t="shared" si="19"/>
        <v>0</v>
      </c>
      <c r="I44" s="14">
        <f t="shared" si="19"/>
        <v>0</v>
      </c>
      <c r="J44" s="14">
        <f t="shared" si="19"/>
        <v>0</v>
      </c>
      <c r="K44" s="14">
        <f t="shared" si="19"/>
        <v>0</v>
      </c>
      <c r="L44" s="14">
        <f t="shared" si="19"/>
        <v>28101.277531139262</v>
      </c>
      <c r="M44" s="14">
        <f t="shared" si="19"/>
        <v>31812.703333854173</v>
      </c>
      <c r="N44" s="14">
        <f t="shared" si="19"/>
        <v>52008.057468713487</v>
      </c>
      <c r="O44" s="14">
        <f>O38*O30</f>
        <v>87461.307949507187</v>
      </c>
      <c r="P44" s="14"/>
      <c r="Q44" s="14"/>
      <c r="R44" s="14"/>
      <c r="S44" s="14"/>
      <c r="T44" s="14"/>
      <c r="U44" s="14"/>
      <c r="V44" s="14"/>
    </row>
    <row r="45" spans="1:22">
      <c r="D45" s="14"/>
      <c r="E45" s="14"/>
      <c r="F45" s="14">
        <f t="shared" si="19"/>
        <v>0</v>
      </c>
      <c r="G45" s="14">
        <f t="shared" si="19"/>
        <v>0</v>
      </c>
      <c r="H45" s="14">
        <f t="shared" si="19"/>
        <v>0</v>
      </c>
      <c r="I45" s="14">
        <f t="shared" si="19"/>
        <v>0</v>
      </c>
      <c r="J45" s="14">
        <f t="shared" si="19"/>
        <v>0</v>
      </c>
      <c r="K45" s="14">
        <f t="shared" si="19"/>
        <v>0</v>
      </c>
      <c r="L45" s="14">
        <f t="shared" si="19"/>
        <v>26255.514838026036</v>
      </c>
      <c r="M45" s="14">
        <f t="shared" si="19"/>
        <v>29723.164845234212</v>
      </c>
      <c r="N45" s="14">
        <f t="shared" si="19"/>
        <v>48592.037250035966</v>
      </c>
      <c r="O45" s="14">
        <f>O39*O31</f>
        <v>81716.628935351953</v>
      </c>
      <c r="P45" s="14"/>
      <c r="Q45" s="14"/>
      <c r="R45" s="14"/>
      <c r="S45" s="14"/>
      <c r="T45" s="14"/>
      <c r="U45" s="14"/>
      <c r="V45" s="14"/>
    </row>
    <row r="46" spans="1:22">
      <c r="D46" s="14"/>
      <c r="E46" s="14"/>
      <c r="F46" s="18">
        <f t="shared" si="19"/>
        <v>0</v>
      </c>
      <c r="G46" s="18">
        <f t="shared" si="19"/>
        <v>0</v>
      </c>
      <c r="H46" s="18">
        <f t="shared" si="19"/>
        <v>0</v>
      </c>
      <c r="I46" s="18">
        <f t="shared" si="19"/>
        <v>0</v>
      </c>
      <c r="J46" s="18">
        <f t="shared" si="19"/>
        <v>0</v>
      </c>
      <c r="K46" s="18">
        <f t="shared" si="19"/>
        <v>0</v>
      </c>
      <c r="L46" s="18">
        <f t="shared" si="19"/>
        <v>24530.986487924914</v>
      </c>
      <c r="M46" s="18">
        <f t="shared" si="19"/>
        <v>27770.87250792695</v>
      </c>
      <c r="N46" s="18">
        <f t="shared" si="19"/>
        <v>45400.389844002581</v>
      </c>
      <c r="O46" s="18">
        <f>O40*O32</f>
        <v>76349.274909232874</v>
      </c>
      <c r="P46" s="14"/>
      <c r="Q46" s="14"/>
      <c r="R46" s="14"/>
      <c r="S46" s="14"/>
      <c r="T46" s="14"/>
      <c r="U46" s="14"/>
      <c r="V46" s="14"/>
    </row>
    <row r="47" spans="1:22">
      <c r="D47" s="14"/>
      <c r="E47" s="14"/>
      <c r="F47" s="14">
        <f t="shared" ref="F47:N47" si="20">SUM(F42:F46)</f>
        <v>0</v>
      </c>
      <c r="G47" s="14">
        <f t="shared" si="20"/>
        <v>0</v>
      </c>
      <c r="H47" s="14">
        <f t="shared" si="20"/>
        <v>0</v>
      </c>
      <c r="I47" s="14">
        <f t="shared" si="20"/>
        <v>0</v>
      </c>
      <c r="J47" s="14">
        <f t="shared" si="20"/>
        <v>0</v>
      </c>
      <c r="K47" s="14">
        <f t="shared" si="20"/>
        <v>0</v>
      </c>
      <c r="L47" s="14">
        <f t="shared" si="20"/>
        <v>175037.39848109704</v>
      </c>
      <c r="M47" s="14">
        <f t="shared" si="20"/>
        <v>194234.45471173688</v>
      </c>
      <c r="N47" s="14">
        <f t="shared" si="20"/>
        <v>299267.18655610189</v>
      </c>
      <c r="O47" s="14">
        <f>SUM(O42:O46)</f>
        <v>423241.59116668854</v>
      </c>
      <c r="P47" s="14"/>
      <c r="Q47" s="14"/>
      <c r="R47" s="14"/>
      <c r="S47" s="14"/>
      <c r="T47" s="14"/>
      <c r="U47" s="14"/>
      <c r="V47" s="14"/>
    </row>
    <row r="48" spans="1:22">
      <c r="D48" s="14"/>
      <c r="E48" s="14"/>
      <c r="F48" s="14"/>
      <c r="G48" s="14"/>
      <c r="H48" s="14"/>
      <c r="I48" s="14"/>
      <c r="J48" s="14"/>
      <c r="K48" s="14"/>
      <c r="L48" s="14"/>
      <c r="M48" s="14"/>
      <c r="N48" s="14"/>
      <c r="O48" s="14"/>
      <c r="P48" s="14"/>
      <c r="Q48" s="14"/>
      <c r="R48" s="14"/>
      <c r="S48" s="14"/>
      <c r="T48" s="14"/>
      <c r="U48" s="14"/>
      <c r="V48" s="14"/>
    </row>
    <row r="49" spans="4:22">
      <c r="D49" s="14"/>
      <c r="E49" s="14"/>
      <c r="F49" s="14"/>
      <c r="G49" s="14"/>
      <c r="H49" s="14"/>
      <c r="I49" s="14"/>
      <c r="J49" s="14"/>
      <c r="K49" s="14"/>
      <c r="L49" s="14"/>
      <c r="M49" s="14"/>
      <c r="N49" s="14"/>
      <c r="O49" s="14"/>
      <c r="P49" s="14"/>
      <c r="Q49" s="14"/>
      <c r="R49" s="14"/>
      <c r="S49" s="14"/>
      <c r="T49" s="14"/>
      <c r="U49" s="14"/>
      <c r="V49" s="14"/>
    </row>
    <row r="50" spans="4:22">
      <c r="D50" s="14"/>
      <c r="E50" s="14"/>
      <c r="F50" s="14"/>
      <c r="G50" s="14"/>
      <c r="H50" s="14"/>
      <c r="I50" s="14"/>
      <c r="J50" s="14"/>
      <c r="K50" s="14"/>
      <c r="L50" s="14"/>
      <c r="M50" s="14"/>
      <c r="N50" s="14"/>
      <c r="O50" s="14"/>
      <c r="P50" s="14"/>
      <c r="Q50" s="14"/>
      <c r="R50" s="14"/>
      <c r="S50" s="14"/>
      <c r="T50" s="14"/>
      <c r="U50" s="14"/>
      <c r="V50" s="14"/>
    </row>
    <row r="51" spans="4:22">
      <c r="D51" s="14"/>
      <c r="E51" s="14"/>
      <c r="F51" s="14"/>
      <c r="G51" s="14"/>
      <c r="H51" s="14"/>
      <c r="I51" s="14"/>
      <c r="J51" s="14"/>
      <c r="K51" s="14"/>
      <c r="L51" s="14"/>
      <c r="M51" s="14"/>
      <c r="N51" s="14"/>
      <c r="O51" s="14"/>
      <c r="P51" s="14"/>
      <c r="Q51" s="14"/>
      <c r="R51" s="14"/>
      <c r="S51" s="14"/>
      <c r="T51" s="14"/>
      <c r="U51" s="14"/>
      <c r="V51" s="14"/>
    </row>
    <row r="52" spans="4:22">
      <c r="D52" s="14"/>
      <c r="E52" s="14"/>
      <c r="F52" s="14"/>
      <c r="G52" s="14"/>
      <c r="H52" s="14"/>
      <c r="I52" s="14"/>
      <c r="J52" s="14"/>
      <c r="K52" s="14"/>
      <c r="L52" s="14"/>
      <c r="M52" s="14"/>
      <c r="N52" s="14"/>
      <c r="O52" s="14"/>
      <c r="P52" s="14"/>
      <c r="Q52" s="14"/>
      <c r="R52" s="14"/>
      <c r="S52" s="14"/>
      <c r="T52" s="14"/>
      <c r="U52" s="14"/>
      <c r="V52" s="14"/>
    </row>
    <row r="53" spans="4:22">
      <c r="D53" s="14"/>
      <c r="E53" s="14"/>
      <c r="F53" s="14"/>
      <c r="G53" s="14"/>
      <c r="H53" s="14"/>
      <c r="I53" s="14"/>
      <c r="J53" s="14"/>
      <c r="K53" s="14"/>
      <c r="L53" s="14"/>
      <c r="M53" s="14"/>
      <c r="N53" s="14"/>
      <c r="O53" s="14"/>
      <c r="P53" s="14"/>
      <c r="Q53" s="14"/>
      <c r="R53" s="14"/>
      <c r="S53" s="14"/>
      <c r="T53" s="14"/>
      <c r="U53" s="14"/>
      <c r="V53" s="14"/>
    </row>
    <row r="54" spans="4:22">
      <c r="D54" s="14"/>
      <c r="E54" s="14"/>
      <c r="F54" s="14"/>
      <c r="G54" s="14"/>
      <c r="H54" s="14"/>
      <c r="I54" s="14"/>
      <c r="J54" s="14"/>
      <c r="K54" s="14"/>
      <c r="L54" s="14"/>
      <c r="M54" s="14"/>
      <c r="N54" s="14"/>
      <c r="O54" s="14"/>
      <c r="P54" s="14"/>
      <c r="Q54" s="14"/>
      <c r="R54" s="14"/>
      <c r="S54" s="14"/>
      <c r="T54" s="14"/>
      <c r="U54" s="14"/>
      <c r="V54" s="14"/>
    </row>
    <row r="55" spans="4:22">
      <c r="D55" s="14"/>
      <c r="E55" s="14"/>
      <c r="F55" s="14"/>
      <c r="G55" s="14"/>
      <c r="H55" s="14"/>
      <c r="I55" s="14"/>
      <c r="J55" s="14"/>
      <c r="K55" s="14"/>
      <c r="L55" s="14"/>
      <c r="M55" s="14"/>
      <c r="N55" s="14"/>
      <c r="O55" s="14"/>
      <c r="P55" s="14"/>
      <c r="Q55" s="14"/>
      <c r="R55" s="14"/>
      <c r="S55" s="14"/>
      <c r="T55" s="14"/>
      <c r="U55" s="14"/>
      <c r="V55" s="14"/>
    </row>
    <row r="56" spans="4:22">
      <c r="D56" s="14"/>
      <c r="E56" s="14"/>
      <c r="F56" s="14"/>
      <c r="G56" s="14"/>
      <c r="H56" s="14"/>
      <c r="I56" s="14"/>
      <c r="J56" s="14"/>
      <c r="K56" s="14"/>
      <c r="L56" s="14"/>
      <c r="M56" s="14"/>
      <c r="N56" s="14"/>
      <c r="O56" s="14"/>
      <c r="P56" s="14"/>
      <c r="Q56" s="14"/>
      <c r="R56" s="14"/>
      <c r="S56" s="14"/>
      <c r="T56" s="14"/>
      <c r="U56" s="14"/>
      <c r="V56" s="14"/>
    </row>
    <row r="57" spans="4:22">
      <c r="D57" s="14"/>
      <c r="E57" s="14"/>
      <c r="F57" s="14"/>
      <c r="G57" s="14"/>
      <c r="H57" s="14"/>
      <c r="I57" s="14"/>
      <c r="J57" s="14"/>
      <c r="K57" s="14"/>
      <c r="L57" s="14"/>
      <c r="M57" s="14"/>
      <c r="N57" s="14"/>
      <c r="O57" s="14"/>
      <c r="P57" s="14"/>
      <c r="Q57" s="14"/>
      <c r="R57" s="14"/>
      <c r="S57" s="14"/>
      <c r="T57" s="14"/>
      <c r="U57" s="14"/>
      <c r="V57" s="14"/>
    </row>
  </sheetData>
  <customSheetViews>
    <customSheetView guid="{5826E3E6-173D-429F-ABE1-D868EE9E034B}" fitToPage="1" topLeftCell="M1">
      <selection activeCell="V33" sqref="V33"/>
      <pageMargins left="0" right="0" top="0" bottom="0" header="0" footer="0"/>
      <pageSetup paperSize="9" scale="83" orientation="landscape" horizontalDpi="0" verticalDpi="0" r:id="rId1"/>
    </customSheetView>
  </customSheetViews>
  <mergeCells count="2">
    <mergeCell ref="A2:D2"/>
    <mergeCell ref="A3:D3"/>
  </mergeCells>
  <pageMargins left="0.7" right="0.7" top="0.75" bottom="0.75" header="0.3" footer="0.3"/>
  <pageSetup paperSize="9" scale="82" orientation="landscape" horizontalDpi="0"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R781"/>
  <sheetViews>
    <sheetView zoomScaleNormal="100" workbookViewId="0"/>
  </sheetViews>
  <sheetFormatPr defaultColWidth="9.5703125" defaultRowHeight="12.75"/>
  <cols>
    <col min="1" max="1" width="3.28515625" customWidth="1"/>
    <col min="2" max="2" width="4.28515625" customWidth="1"/>
    <col min="3" max="3" width="9" customWidth="1"/>
    <col min="4" max="4" width="19.7109375" customWidth="1"/>
    <col min="5" max="5" width="4" customWidth="1"/>
    <col min="6" max="6" width="14.28515625" hidden="1" customWidth="1"/>
    <col min="7" max="17" width="8.85546875" hidden="1" customWidth="1"/>
    <col min="18" max="18" width="8.5703125" customWidth="1"/>
    <col min="19" max="19" width="10" customWidth="1"/>
    <col min="20" max="28" width="9.28515625" customWidth="1"/>
    <col min="29" max="29" width="9.140625" customWidth="1"/>
    <col min="31" max="31" width="11.28515625" customWidth="1"/>
  </cols>
  <sheetData>
    <row r="1" spans="1:40" ht="24" customHeight="1">
      <c r="A1" s="1218" t="s">
        <v>0</v>
      </c>
      <c r="B1" s="1219"/>
      <c r="C1" s="1218"/>
      <c r="D1" s="1219"/>
      <c r="E1" s="1497"/>
      <c r="F1" s="1498"/>
      <c r="G1" s="1498"/>
      <c r="H1" s="1498"/>
      <c r="I1" s="1498"/>
      <c r="J1" s="1498"/>
      <c r="K1" s="1498"/>
      <c r="L1" s="1498"/>
      <c r="M1" s="1498"/>
      <c r="N1" s="1498"/>
      <c r="O1" s="1498"/>
      <c r="P1" s="1498"/>
      <c r="Q1" s="1498"/>
      <c r="R1" s="1498"/>
      <c r="S1" s="1498"/>
      <c r="T1" s="1490"/>
      <c r="U1" s="1490"/>
      <c r="V1" s="1220"/>
      <c r="W1" s="1552" t="s">
        <v>41</v>
      </c>
      <c r="X1" s="1553"/>
      <c r="Y1" s="1553"/>
      <c r="Z1" s="1553"/>
      <c r="AA1" s="1554"/>
      <c r="AB1" s="1083">
        <v>2.1</v>
      </c>
    </row>
    <row r="2" spans="1:40" ht="15.75" customHeight="1">
      <c r="A2" s="630" t="s">
        <v>41</v>
      </c>
      <c r="B2" s="720"/>
      <c r="C2" s="720"/>
      <c r="D2" s="720"/>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c r="AC2" s="34"/>
    </row>
    <row r="3" spans="1:40">
      <c r="A3" s="34" t="s">
        <v>42</v>
      </c>
      <c r="D3" s="1276" t="s">
        <v>43</v>
      </c>
      <c r="E3" s="1276" t="s">
        <v>44</v>
      </c>
      <c r="F3" s="980">
        <v>1999</v>
      </c>
      <c r="G3" s="980">
        <v>2000</v>
      </c>
      <c r="H3" s="980">
        <v>2001</v>
      </c>
      <c r="I3" s="980">
        <v>2002</v>
      </c>
      <c r="J3" s="980">
        <v>2003</v>
      </c>
      <c r="K3" s="980">
        <v>2004</v>
      </c>
      <c r="L3" s="980">
        <v>2005</v>
      </c>
      <c r="M3" s="980">
        <v>2006</v>
      </c>
      <c r="N3" s="980">
        <v>2007</v>
      </c>
      <c r="O3" s="980">
        <v>2008</v>
      </c>
      <c r="P3" s="980">
        <v>2009</v>
      </c>
      <c r="Q3" s="980">
        <v>2010</v>
      </c>
      <c r="R3" s="1179">
        <v>2011</v>
      </c>
      <c r="S3" s="1179">
        <v>2012</v>
      </c>
      <c r="T3" s="1179">
        <v>2013</v>
      </c>
      <c r="U3" s="1179">
        <v>2014</v>
      </c>
      <c r="V3" s="1179">
        <v>2015</v>
      </c>
      <c r="W3" s="1179">
        <v>2016</v>
      </c>
      <c r="X3" s="1179">
        <v>2017</v>
      </c>
      <c r="Y3" s="1179">
        <v>2018</v>
      </c>
      <c r="Z3" s="1179">
        <v>2019</v>
      </c>
      <c r="AA3" s="1179">
        <v>2020</v>
      </c>
      <c r="AB3" s="1179">
        <v>2021</v>
      </c>
      <c r="AC3" s="34"/>
    </row>
    <row r="4" spans="1:40">
      <c r="A4" s="721" t="s">
        <v>45</v>
      </c>
      <c r="B4" s="43"/>
      <c r="C4" s="43"/>
      <c r="D4" s="702"/>
      <c r="E4" s="616"/>
      <c r="F4" s="700" t="s">
        <v>46</v>
      </c>
      <c r="G4" s="700"/>
      <c r="H4" s="700"/>
      <c r="I4" s="700"/>
      <c r="J4" s="700"/>
      <c r="K4" s="700"/>
      <c r="L4" s="699"/>
      <c r="M4" s="700"/>
      <c r="N4" s="700"/>
      <c r="O4" s="700"/>
      <c r="P4" s="700"/>
      <c r="Q4" s="700"/>
      <c r="R4" s="700"/>
      <c r="S4" s="700"/>
      <c r="T4" s="700"/>
      <c r="U4" s="700"/>
      <c r="V4" s="700"/>
      <c r="W4" s="700"/>
      <c r="X4" s="700"/>
      <c r="Y4" s="1496" t="s">
        <v>1173</v>
      </c>
      <c r="Z4" s="1496"/>
      <c r="AA4" s="1496"/>
      <c r="AB4" s="1496"/>
      <c r="AC4" s="616"/>
      <c r="AD4" s="616"/>
      <c r="AE4" s="616"/>
      <c r="AF4" s="616"/>
      <c r="AG4" s="616"/>
      <c r="AH4" s="9"/>
      <c r="AI4" s="9"/>
      <c r="AJ4" s="9"/>
      <c r="AK4" s="9"/>
      <c r="AL4" s="9"/>
      <c r="AM4" s="9"/>
      <c r="AN4" s="9"/>
    </row>
    <row r="5" spans="1:40">
      <c r="A5" s="34"/>
      <c r="B5" s="34" t="s">
        <v>47</v>
      </c>
      <c r="C5" s="34"/>
      <c r="D5" s="616"/>
      <c r="E5" s="616"/>
      <c r="F5" s="616">
        <v>138295</v>
      </c>
      <c r="G5" s="616">
        <v>570280</v>
      </c>
      <c r="H5" s="616">
        <v>768095</v>
      </c>
      <c r="I5" s="616">
        <v>1121171</v>
      </c>
      <c r="J5" s="616">
        <v>1361241</v>
      </c>
      <c r="K5" s="616">
        <v>1297154</v>
      </c>
      <c r="L5" s="616">
        <v>1642774</v>
      </c>
      <c r="M5" s="616">
        <v>2176848</v>
      </c>
      <c r="N5" s="616">
        <v>1771174</v>
      </c>
      <c r="O5" s="616">
        <v>2578128</v>
      </c>
      <c r="P5" s="616">
        <v>1865340</v>
      </c>
      <c r="Q5" s="616">
        <v>2023136</v>
      </c>
      <c r="R5" s="616"/>
      <c r="S5" s="616"/>
      <c r="T5" s="616"/>
      <c r="U5" s="616"/>
      <c r="V5" s="616">
        <v>951000</v>
      </c>
      <c r="W5" s="616">
        <v>903000</v>
      </c>
      <c r="X5" s="616">
        <v>891000</v>
      </c>
      <c r="Y5" s="616">
        <v>883000</v>
      </c>
      <c r="Z5" s="616">
        <v>862000</v>
      </c>
      <c r="AA5" s="616">
        <v>860000</v>
      </c>
      <c r="AB5" s="616">
        <v>838000</v>
      </c>
      <c r="AC5" s="616"/>
      <c r="AD5" s="616"/>
      <c r="AE5" s="616"/>
      <c r="AF5" s="616"/>
      <c r="AG5" s="616"/>
      <c r="AH5" s="9"/>
      <c r="AI5" s="9"/>
      <c r="AJ5" s="9"/>
      <c r="AK5" s="9"/>
      <c r="AL5" s="9"/>
      <c r="AM5" s="9"/>
      <c r="AN5" s="9"/>
    </row>
    <row r="6" spans="1:40">
      <c r="A6" s="34"/>
      <c r="B6" s="34" t="s">
        <v>48</v>
      </c>
      <c r="C6" s="34"/>
      <c r="D6" s="616"/>
      <c r="E6" s="616"/>
      <c r="F6" s="616"/>
      <c r="G6" s="616"/>
      <c r="H6" s="616"/>
      <c r="I6" s="616"/>
      <c r="J6" s="616"/>
      <c r="K6" s="616"/>
      <c r="L6" s="616"/>
      <c r="M6" s="616"/>
      <c r="N6" s="616"/>
      <c r="O6" s="616"/>
      <c r="P6" s="616"/>
      <c r="Q6" s="616"/>
      <c r="R6" s="616"/>
      <c r="S6" s="616"/>
      <c r="T6" s="616"/>
      <c r="U6" s="616"/>
      <c r="V6" s="616"/>
      <c r="W6" s="616"/>
      <c r="X6" s="616"/>
      <c r="Y6" s="616">
        <v>432000</v>
      </c>
      <c r="Z6" s="616">
        <v>388000</v>
      </c>
      <c r="AA6" s="616">
        <v>275000</v>
      </c>
      <c r="AB6" s="616">
        <v>249000</v>
      </c>
      <c r="AC6" s="616"/>
      <c r="AD6" s="616"/>
      <c r="AE6" s="616"/>
      <c r="AF6" s="616"/>
      <c r="AG6" s="616"/>
      <c r="AH6" s="9"/>
      <c r="AI6" s="9"/>
      <c r="AJ6" s="9"/>
      <c r="AK6" s="9"/>
      <c r="AL6" s="9"/>
      <c r="AM6" s="9"/>
      <c r="AN6" s="9"/>
    </row>
    <row r="7" spans="1:40">
      <c r="A7" s="34"/>
      <c r="B7" s="34" t="s">
        <v>49</v>
      </c>
      <c r="C7" s="34"/>
      <c r="D7" s="616"/>
      <c r="E7" s="616"/>
      <c r="F7" s="616"/>
      <c r="G7" s="616"/>
      <c r="H7" s="616"/>
      <c r="I7" s="616"/>
      <c r="J7" s="616"/>
      <c r="K7" s="616"/>
      <c r="L7" s="616"/>
      <c r="M7" s="616"/>
      <c r="N7" s="616"/>
      <c r="O7" s="616"/>
      <c r="P7" s="616"/>
      <c r="Q7" s="616"/>
      <c r="R7" s="616"/>
      <c r="S7" s="616"/>
      <c r="T7" s="616"/>
      <c r="U7" s="616"/>
      <c r="V7" s="616"/>
      <c r="W7" s="616"/>
      <c r="X7" s="616"/>
      <c r="Y7" s="616">
        <v>20000</v>
      </c>
      <c r="Z7" s="616">
        <v>31000</v>
      </c>
      <c r="AA7" s="616">
        <v>16000</v>
      </c>
      <c r="AB7" s="616">
        <v>44000</v>
      </c>
      <c r="AC7" s="616"/>
      <c r="AD7" s="616"/>
      <c r="AE7" s="616"/>
      <c r="AF7" s="616"/>
      <c r="AG7" s="616"/>
      <c r="AH7" s="9"/>
      <c r="AI7" s="9"/>
      <c r="AJ7" s="9"/>
      <c r="AK7" s="9"/>
      <c r="AL7" s="9"/>
      <c r="AM7" s="9"/>
      <c r="AN7" s="9"/>
    </row>
    <row r="8" spans="1:40">
      <c r="A8" s="34"/>
      <c r="B8" s="34" t="s">
        <v>1190</v>
      </c>
      <c r="C8" s="34"/>
      <c r="D8" s="616"/>
      <c r="E8" s="616"/>
      <c r="F8" s="616"/>
      <c r="G8" s="616"/>
      <c r="H8" s="616"/>
      <c r="I8" s="616"/>
      <c r="J8" s="616"/>
      <c r="K8" s="616"/>
      <c r="L8" s="616"/>
      <c r="M8" s="616"/>
      <c r="N8" s="616"/>
      <c r="O8" s="616"/>
      <c r="P8" s="616"/>
      <c r="Q8" s="616"/>
      <c r="R8" s="616"/>
      <c r="S8" s="616"/>
      <c r="T8" s="616"/>
      <c r="U8" s="616"/>
      <c r="V8" s="616">
        <v>563000</v>
      </c>
      <c r="W8" s="616">
        <v>501000</v>
      </c>
      <c r="X8" s="616">
        <v>473000</v>
      </c>
      <c r="Y8" s="616"/>
      <c r="Z8" s="616"/>
      <c r="AA8" s="616"/>
      <c r="AB8" s="616"/>
      <c r="AC8" s="616"/>
      <c r="AD8" s="616"/>
      <c r="AE8" s="616"/>
      <c r="AF8" s="616"/>
      <c r="AG8" s="616"/>
      <c r="AH8" s="9"/>
      <c r="AI8" s="9"/>
      <c r="AJ8" s="9"/>
      <c r="AK8" s="9"/>
      <c r="AL8" s="9"/>
      <c r="AM8" s="9"/>
      <c r="AN8" s="9"/>
    </row>
    <row r="9" spans="1:40">
      <c r="A9" s="34"/>
      <c r="B9" s="34" t="s">
        <v>50</v>
      </c>
      <c r="C9" s="34"/>
      <c r="D9" s="616"/>
      <c r="E9" s="616"/>
      <c r="F9" s="616"/>
      <c r="G9" s="616"/>
      <c r="H9" s="616"/>
      <c r="I9" s="616"/>
      <c r="J9" s="616"/>
      <c r="K9" s="616"/>
      <c r="L9" s="616"/>
      <c r="M9" s="616"/>
      <c r="N9" s="616">
        <v>0</v>
      </c>
      <c r="O9" s="616">
        <v>0</v>
      </c>
      <c r="P9" s="616">
        <v>0</v>
      </c>
      <c r="Q9" s="616">
        <v>0</v>
      </c>
      <c r="R9" s="616"/>
      <c r="S9" s="616">
        <v>963000</v>
      </c>
      <c r="T9" s="616">
        <v>742000</v>
      </c>
      <c r="U9" s="616">
        <v>641000</v>
      </c>
      <c r="V9" s="616">
        <v>693000</v>
      </c>
      <c r="W9" s="616">
        <v>543000</v>
      </c>
      <c r="X9" s="616">
        <v>492000</v>
      </c>
      <c r="Y9" s="616">
        <v>705000</v>
      </c>
      <c r="Z9" s="616">
        <v>1044000</v>
      </c>
      <c r="AA9" s="616">
        <v>791000</v>
      </c>
      <c r="AB9" s="616">
        <v>1285000</v>
      </c>
      <c r="AC9" s="616"/>
      <c r="AD9" s="616"/>
      <c r="AE9" s="616"/>
      <c r="AF9" s="616"/>
      <c r="AG9" s="616"/>
      <c r="AH9" s="9"/>
      <c r="AI9" s="9"/>
      <c r="AJ9" s="9"/>
      <c r="AK9" s="9"/>
      <c r="AL9" s="9"/>
      <c r="AM9" s="9"/>
      <c r="AN9" s="9"/>
    </row>
    <row r="10" spans="1:40">
      <c r="A10" s="34"/>
      <c r="B10" s="34" t="s">
        <v>51</v>
      </c>
      <c r="C10" s="34"/>
      <c r="D10" s="616"/>
      <c r="E10" s="616"/>
      <c r="F10" s="616"/>
      <c r="G10" s="616"/>
      <c r="H10" s="616"/>
      <c r="I10" s="616"/>
      <c r="J10" s="616"/>
      <c r="K10" s="616"/>
      <c r="L10" s="616"/>
      <c r="M10" s="616"/>
      <c r="N10" s="616">
        <v>5393</v>
      </c>
      <c r="O10" s="616">
        <v>5511</v>
      </c>
      <c r="P10" s="616">
        <v>6595</v>
      </c>
      <c r="Q10" s="616">
        <v>16463</v>
      </c>
      <c r="R10" s="616"/>
      <c r="S10" s="616"/>
      <c r="T10" s="616"/>
      <c r="U10" s="616"/>
      <c r="V10" s="616"/>
      <c r="W10" s="616"/>
      <c r="X10" s="616"/>
      <c r="Y10" s="616">
        <v>7000</v>
      </c>
      <c r="Z10" s="616">
        <v>10000</v>
      </c>
      <c r="AA10" s="616">
        <v>8000</v>
      </c>
      <c r="AB10" s="616">
        <v>8000</v>
      </c>
      <c r="AC10" s="616"/>
      <c r="AD10" s="616"/>
      <c r="AE10" s="616"/>
      <c r="AF10" s="616"/>
      <c r="AG10" s="616"/>
      <c r="AH10" s="9"/>
      <c r="AI10" s="9"/>
      <c r="AJ10" s="9"/>
      <c r="AK10" s="9"/>
      <c r="AL10" s="9"/>
      <c r="AM10" s="9"/>
      <c r="AN10" s="9"/>
    </row>
    <row r="11" spans="1:40">
      <c r="A11" s="34"/>
      <c r="B11" s="34" t="s">
        <v>1195</v>
      </c>
      <c r="C11" s="34"/>
      <c r="D11" s="616"/>
      <c r="E11" s="616"/>
      <c r="F11" s="616"/>
      <c r="G11" s="616"/>
      <c r="H11" s="616"/>
      <c r="I11" s="616"/>
      <c r="J11" s="616"/>
      <c r="K11" s="616"/>
      <c r="L11" s="616"/>
      <c r="M11" s="616"/>
      <c r="N11" s="616"/>
      <c r="O11" s="616"/>
      <c r="P11" s="616"/>
      <c r="Q11" s="616"/>
      <c r="R11" s="616"/>
      <c r="S11" s="616">
        <v>1490000</v>
      </c>
      <c r="T11" s="616">
        <v>1532000</v>
      </c>
      <c r="U11" s="616">
        <v>1534000</v>
      </c>
      <c r="V11" s="616"/>
      <c r="W11" s="616"/>
      <c r="X11" s="616"/>
      <c r="Y11" s="616"/>
      <c r="Z11" s="616"/>
      <c r="AA11" s="616"/>
      <c r="AB11" s="616"/>
      <c r="AC11" s="616"/>
      <c r="AD11" s="616"/>
      <c r="AE11" s="616"/>
      <c r="AF11" s="616"/>
      <c r="AG11" s="616"/>
      <c r="AH11" s="9"/>
      <c r="AI11" s="9"/>
      <c r="AJ11" s="9"/>
      <c r="AK11" s="9"/>
      <c r="AL11" s="9"/>
      <c r="AM11" s="9"/>
      <c r="AN11" s="9"/>
    </row>
    <row r="12" spans="1:40">
      <c r="A12" s="34"/>
      <c r="B12" s="34" t="s">
        <v>52</v>
      </c>
      <c r="C12" s="34"/>
      <c r="D12" s="616"/>
      <c r="E12" s="616"/>
      <c r="F12" s="616"/>
      <c r="G12" s="616"/>
      <c r="H12" s="616"/>
      <c r="I12" s="616"/>
      <c r="J12" s="616"/>
      <c r="K12" s="616"/>
      <c r="L12" s="616"/>
      <c r="M12" s="616"/>
      <c r="N12" s="616"/>
      <c r="O12" s="616"/>
      <c r="P12" s="616"/>
      <c r="Q12" s="616"/>
      <c r="R12" s="616"/>
      <c r="S12" s="616">
        <v>92000</v>
      </c>
      <c r="T12" s="616">
        <v>92000</v>
      </c>
      <c r="U12" s="616">
        <v>83000</v>
      </c>
      <c r="V12" s="616">
        <v>81000</v>
      </c>
      <c r="W12" s="616">
        <v>63000</v>
      </c>
      <c r="X12" s="616">
        <v>66000</v>
      </c>
      <c r="Y12" s="616">
        <v>75000</v>
      </c>
      <c r="Z12" s="616">
        <v>76000</v>
      </c>
      <c r="AA12" s="616">
        <v>75000</v>
      </c>
      <c r="AB12" s="616">
        <v>76000</v>
      </c>
      <c r="AC12" s="616"/>
      <c r="AD12" s="616"/>
      <c r="AE12" s="616"/>
      <c r="AF12" s="616"/>
      <c r="AG12" s="616"/>
      <c r="AH12" s="9"/>
      <c r="AI12" s="9"/>
      <c r="AJ12" s="9"/>
      <c r="AK12" s="9"/>
      <c r="AL12" s="9"/>
      <c r="AM12" s="9"/>
      <c r="AN12" s="9"/>
    </row>
    <row r="13" spans="1:40">
      <c r="A13" s="34"/>
      <c r="B13" s="34" t="s">
        <v>53</v>
      </c>
      <c r="C13" s="34"/>
      <c r="D13" s="616"/>
      <c r="E13" s="616"/>
      <c r="F13" s="616"/>
      <c r="G13" s="616"/>
      <c r="H13" s="616"/>
      <c r="I13" s="616"/>
      <c r="J13" s="616"/>
      <c r="K13" s="616"/>
      <c r="L13" s="616"/>
      <c r="M13" s="616"/>
      <c r="N13" s="616"/>
      <c r="O13" s="616"/>
      <c r="P13" s="616"/>
      <c r="Q13" s="616"/>
      <c r="R13" s="616"/>
      <c r="S13" s="616">
        <v>20000</v>
      </c>
      <c r="T13" s="616">
        <v>19000</v>
      </c>
      <c r="U13" s="616">
        <v>20000</v>
      </c>
      <c r="V13" s="616">
        <v>21000</v>
      </c>
      <c r="W13" s="616">
        <v>26000</v>
      </c>
      <c r="X13" s="616">
        <v>25000</v>
      </c>
      <c r="Y13" s="616">
        <v>25000</v>
      </c>
      <c r="Z13" s="616">
        <v>27000</v>
      </c>
      <c r="AA13" s="616">
        <v>26000</v>
      </c>
      <c r="AB13" s="616">
        <v>28000</v>
      </c>
      <c r="AC13" s="616"/>
      <c r="AD13" s="616"/>
      <c r="AE13" s="616"/>
      <c r="AF13" s="616"/>
      <c r="AG13" s="616"/>
      <c r="AH13" s="9"/>
      <c r="AI13" s="9"/>
      <c r="AJ13" s="9"/>
      <c r="AK13" s="9"/>
      <c r="AL13" s="9"/>
      <c r="AM13" s="9"/>
      <c r="AN13" s="9"/>
    </row>
    <row r="14" spans="1:40">
      <c r="A14" s="34"/>
      <c r="B14" s="34" t="s">
        <v>54</v>
      </c>
      <c r="C14" s="34"/>
      <c r="D14" s="616"/>
      <c r="E14" s="616"/>
      <c r="F14" s="616"/>
      <c r="G14" s="616"/>
      <c r="H14" s="616"/>
      <c r="I14" s="616"/>
      <c r="J14" s="616"/>
      <c r="K14" s="616"/>
      <c r="L14" s="616"/>
      <c r="M14" s="616"/>
      <c r="N14" s="616"/>
      <c r="O14" s="616"/>
      <c r="P14" s="616"/>
      <c r="Q14" s="616"/>
      <c r="R14" s="616"/>
      <c r="S14" s="616"/>
      <c r="T14" s="616"/>
      <c r="U14" s="616"/>
      <c r="V14" s="616"/>
      <c r="W14" s="616"/>
      <c r="X14" s="616"/>
      <c r="Y14" s="616"/>
      <c r="Z14" s="616"/>
      <c r="AA14" s="616">
        <v>0</v>
      </c>
      <c r="AB14" s="616">
        <v>3000</v>
      </c>
      <c r="AC14" s="616"/>
      <c r="AD14" s="616"/>
      <c r="AE14" s="616"/>
      <c r="AF14" s="616"/>
      <c r="AG14" s="616"/>
      <c r="AH14" s="9"/>
      <c r="AI14" s="9"/>
      <c r="AJ14" s="9"/>
      <c r="AK14" s="9"/>
      <c r="AL14" s="9"/>
      <c r="AM14" s="9"/>
      <c r="AN14" s="9"/>
    </row>
    <row r="15" spans="1:40">
      <c r="A15" s="34"/>
      <c r="B15" s="34" t="s">
        <v>55</v>
      </c>
      <c r="C15" s="34"/>
      <c r="D15" s="616"/>
      <c r="E15" s="616"/>
      <c r="F15" s="616"/>
      <c r="G15" s="616"/>
      <c r="H15" s="616"/>
      <c r="I15" s="616"/>
      <c r="J15" s="616"/>
      <c r="K15" s="616"/>
      <c r="L15" s="616"/>
      <c r="M15" s="616"/>
      <c r="N15" s="616"/>
      <c r="O15" s="616"/>
      <c r="P15" s="616"/>
      <c r="Q15" s="616"/>
      <c r="R15" s="616"/>
      <c r="S15" s="616"/>
      <c r="T15" s="616"/>
      <c r="U15" s="616"/>
      <c r="V15" s="616"/>
      <c r="W15" s="616"/>
      <c r="X15" s="616"/>
      <c r="Y15" s="616">
        <v>1000</v>
      </c>
      <c r="Z15" s="616">
        <v>7000</v>
      </c>
      <c r="AA15" s="616">
        <v>17000</v>
      </c>
      <c r="AB15" s="616">
        <v>32000</v>
      </c>
      <c r="AC15" s="616"/>
      <c r="AD15" s="616"/>
      <c r="AE15" s="616"/>
      <c r="AF15" s="616"/>
      <c r="AG15" s="616"/>
      <c r="AH15" s="9"/>
      <c r="AI15" s="9"/>
      <c r="AJ15" s="9"/>
      <c r="AK15" s="9"/>
      <c r="AL15" s="9"/>
      <c r="AM15" s="9"/>
      <c r="AN15" s="9"/>
    </row>
    <row r="16" spans="1:40">
      <c r="A16" s="34"/>
      <c r="B16" s="34" t="s">
        <v>1169</v>
      </c>
      <c r="C16" s="34"/>
      <c r="D16" s="616"/>
      <c r="E16" s="616"/>
      <c r="F16" s="616"/>
      <c r="G16" s="616"/>
      <c r="H16" s="616"/>
      <c r="I16" s="616"/>
      <c r="J16" s="616"/>
      <c r="K16" s="616"/>
      <c r="L16" s="616"/>
      <c r="M16" s="616"/>
      <c r="N16" s="616"/>
      <c r="O16" s="616"/>
      <c r="P16" s="616"/>
      <c r="Q16" s="616"/>
      <c r="R16" s="702"/>
      <c r="S16" s="702">
        <v>118000</v>
      </c>
      <c r="T16" s="702">
        <v>119000</v>
      </c>
      <c r="U16" s="702">
        <v>116000</v>
      </c>
      <c r="V16" s="702">
        <v>118000</v>
      </c>
      <c r="W16" s="702">
        <v>117000</v>
      </c>
      <c r="X16" s="702">
        <v>0</v>
      </c>
      <c r="Y16" s="702">
        <v>0</v>
      </c>
      <c r="Z16" s="702">
        <v>0</v>
      </c>
      <c r="AA16" s="702">
        <v>0</v>
      </c>
      <c r="AB16" s="702">
        <v>0</v>
      </c>
      <c r="AC16" s="616"/>
      <c r="AD16" s="616"/>
      <c r="AE16" s="616"/>
      <c r="AF16" s="616"/>
      <c r="AG16" s="616"/>
      <c r="AH16" s="9"/>
      <c r="AI16" s="9"/>
      <c r="AJ16" s="9"/>
      <c r="AK16" s="9"/>
      <c r="AL16" s="9"/>
      <c r="AM16" s="9"/>
      <c r="AN16" s="9"/>
    </row>
    <row r="17" spans="1:40">
      <c r="A17" s="34"/>
      <c r="B17" s="34"/>
      <c r="C17" s="34"/>
      <c r="D17" s="616"/>
      <c r="E17" s="616"/>
      <c r="F17" s="616"/>
      <c r="G17" s="616"/>
      <c r="H17" s="616"/>
      <c r="I17" s="616"/>
      <c r="J17" s="616"/>
      <c r="K17" s="616"/>
      <c r="L17" s="616"/>
      <c r="M17" s="616"/>
      <c r="N17" s="616"/>
      <c r="O17" s="616"/>
      <c r="P17" s="616"/>
      <c r="Q17" s="616"/>
      <c r="R17" s="616">
        <v>0</v>
      </c>
      <c r="S17" s="616">
        <v>2683000</v>
      </c>
      <c r="T17" s="616">
        <v>2504000</v>
      </c>
      <c r="U17" s="616">
        <v>2394000</v>
      </c>
      <c r="V17" s="616">
        <v>2427000</v>
      </c>
      <c r="W17" s="616">
        <v>2153000</v>
      </c>
      <c r="X17" s="616">
        <v>1947000</v>
      </c>
      <c r="Y17" s="616">
        <v>2148000</v>
      </c>
      <c r="Z17" s="616">
        <v>2445000</v>
      </c>
      <c r="AA17" s="616">
        <v>2068000</v>
      </c>
      <c r="AB17" s="616">
        <v>2563000</v>
      </c>
      <c r="AC17" s="616"/>
      <c r="AD17" s="616"/>
      <c r="AE17" s="616"/>
      <c r="AF17" s="616"/>
      <c r="AG17" s="616"/>
      <c r="AH17" s="9"/>
      <c r="AI17" s="9"/>
      <c r="AJ17" s="9"/>
      <c r="AK17" s="9"/>
      <c r="AL17" s="9"/>
      <c r="AM17" s="9"/>
      <c r="AN17" s="9"/>
    </row>
    <row r="18" spans="1:40">
      <c r="A18" s="34"/>
      <c r="B18" s="34" t="s">
        <v>56</v>
      </c>
      <c r="C18" s="34"/>
      <c r="D18" s="616"/>
      <c r="E18" s="616"/>
      <c r="F18" s="616"/>
      <c r="G18" s="616"/>
      <c r="H18" s="616"/>
      <c r="I18" s="616"/>
      <c r="J18" s="616"/>
      <c r="K18" s="616"/>
      <c r="L18" s="616"/>
      <c r="M18" s="616"/>
      <c r="N18" s="616"/>
      <c r="O18" s="616"/>
      <c r="P18" s="616"/>
      <c r="Q18" s="616"/>
      <c r="R18" s="702"/>
      <c r="S18" s="702">
        <v>18000</v>
      </c>
      <c r="T18" s="702">
        <v>22000</v>
      </c>
      <c r="U18" s="702">
        <v>52000</v>
      </c>
      <c r="V18" s="702">
        <v>16000</v>
      </c>
      <c r="W18" s="702">
        <v>11000</v>
      </c>
      <c r="X18" s="702">
        <v>12000</v>
      </c>
      <c r="Y18" s="702">
        <v>4000</v>
      </c>
      <c r="Z18" s="702">
        <v>15000</v>
      </c>
      <c r="AA18" s="702">
        <v>5000</v>
      </c>
      <c r="AB18" s="702">
        <v>10000</v>
      </c>
      <c r="AC18" s="616"/>
      <c r="AD18" s="616"/>
      <c r="AE18" s="616"/>
      <c r="AF18" s="616"/>
      <c r="AG18" s="616"/>
      <c r="AH18" s="9"/>
      <c r="AI18" s="9"/>
      <c r="AJ18" s="9"/>
      <c r="AK18" s="9"/>
      <c r="AL18" s="9"/>
      <c r="AM18" s="9"/>
      <c r="AN18" s="9"/>
    </row>
    <row r="19" spans="1:40">
      <c r="A19" s="34"/>
      <c r="B19" s="722" t="s">
        <v>58</v>
      </c>
      <c r="C19" s="34"/>
      <c r="D19" s="616"/>
      <c r="E19" s="616"/>
      <c r="F19" s="616">
        <v>138295</v>
      </c>
      <c r="G19" s="616">
        <v>570280</v>
      </c>
      <c r="H19" s="616">
        <v>768095</v>
      </c>
      <c r="I19" s="616">
        <v>1121171</v>
      </c>
      <c r="J19" s="616">
        <v>1361241</v>
      </c>
      <c r="K19" s="616">
        <v>1297154</v>
      </c>
      <c r="L19" s="616">
        <v>1642774</v>
      </c>
      <c r="M19" s="616">
        <v>2176848</v>
      </c>
      <c r="N19" s="616">
        <v>1776567</v>
      </c>
      <c r="O19" s="616">
        <v>2583639</v>
      </c>
      <c r="P19" s="616">
        <v>1871935</v>
      </c>
      <c r="Q19" s="616">
        <v>2039599</v>
      </c>
      <c r="R19" s="616"/>
      <c r="S19" s="616">
        <v>2701000</v>
      </c>
      <c r="T19" s="616">
        <v>2526000</v>
      </c>
      <c r="U19" s="616">
        <v>2446000</v>
      </c>
      <c r="V19" s="616">
        <v>2443000</v>
      </c>
      <c r="W19" s="616">
        <v>2164000</v>
      </c>
      <c r="X19" s="616">
        <v>1959000</v>
      </c>
      <c r="Y19" s="616">
        <v>2152000</v>
      </c>
      <c r="Z19" s="616">
        <v>2460000</v>
      </c>
      <c r="AA19" s="616">
        <v>2073000</v>
      </c>
      <c r="AB19" s="616">
        <v>2573000</v>
      </c>
      <c r="AC19" s="616"/>
      <c r="AD19" s="616"/>
      <c r="AE19" s="616"/>
      <c r="AF19" s="616"/>
      <c r="AG19" s="616"/>
      <c r="AH19" s="9"/>
      <c r="AI19" s="9"/>
      <c r="AJ19" s="9"/>
      <c r="AK19" s="9"/>
      <c r="AL19" s="9"/>
      <c r="AM19" s="9"/>
      <c r="AN19" s="9"/>
    </row>
    <row r="20" spans="1:40">
      <c r="A20" s="721" t="s">
        <v>59</v>
      </c>
      <c r="B20" s="43"/>
      <c r="C20" s="43"/>
      <c r="D20" s="702"/>
      <c r="E20" s="616"/>
      <c r="F20" s="616"/>
      <c r="G20" s="616"/>
      <c r="H20" s="616"/>
      <c r="I20" s="616"/>
      <c r="J20" s="616"/>
      <c r="K20" s="616"/>
      <c r="L20" s="616"/>
      <c r="M20" s="616"/>
      <c r="N20" s="616"/>
      <c r="O20" s="616"/>
      <c r="P20" s="616"/>
      <c r="Q20" s="616"/>
      <c r="R20" s="616"/>
      <c r="S20" s="616"/>
      <c r="T20" s="616"/>
      <c r="U20" s="616"/>
      <c r="V20" s="616"/>
      <c r="W20" s="616"/>
      <c r="X20" s="616"/>
      <c r="Y20" s="616"/>
      <c r="Z20" s="616"/>
      <c r="AA20" s="616"/>
      <c r="AB20" s="616"/>
      <c r="AC20" s="616"/>
      <c r="AD20" s="616"/>
      <c r="AE20" s="616"/>
      <c r="AF20" s="616"/>
      <c r="AG20" s="616"/>
      <c r="AH20" s="9"/>
      <c r="AI20" s="9"/>
      <c r="AJ20" s="9"/>
      <c r="AK20" s="9"/>
      <c r="AL20" s="9"/>
      <c r="AM20" s="9"/>
      <c r="AN20" s="9"/>
    </row>
    <row r="21" spans="1:40">
      <c r="A21" s="34"/>
      <c r="B21" s="34" t="s">
        <v>1174</v>
      </c>
      <c r="C21" s="34"/>
      <c r="D21" s="616"/>
      <c r="E21" s="616"/>
      <c r="F21" s="616"/>
      <c r="G21" s="616"/>
      <c r="H21" s="616"/>
      <c r="I21" s="616"/>
      <c r="J21" s="616"/>
      <c r="K21" s="616"/>
      <c r="L21" s="616"/>
      <c r="M21" s="616"/>
      <c r="N21" s="616">
        <v>-720378</v>
      </c>
      <c r="O21" s="616">
        <v>-1594481</v>
      </c>
      <c r="P21" s="616">
        <v>-788511</v>
      </c>
      <c r="Q21" s="616">
        <v>-743625</v>
      </c>
      <c r="R21" s="616"/>
      <c r="S21" s="616">
        <v>-874000</v>
      </c>
      <c r="T21" s="616">
        <v>-678000</v>
      </c>
      <c r="U21" s="616">
        <v>-624000</v>
      </c>
      <c r="V21" s="616">
        <v>-674000</v>
      </c>
      <c r="W21" s="616">
        <v>-513000</v>
      </c>
      <c r="X21" s="616">
        <v>-460000</v>
      </c>
      <c r="Y21" s="616">
        <v>-657000</v>
      </c>
      <c r="Z21" s="616">
        <v>-901000</v>
      </c>
      <c r="AA21" s="616">
        <v>-635000</v>
      </c>
      <c r="AB21" s="616">
        <v>-974000</v>
      </c>
      <c r="AC21" s="616"/>
      <c r="AD21" s="616"/>
      <c r="AE21" s="616"/>
      <c r="AF21" s="616"/>
      <c r="AG21" s="616"/>
      <c r="AH21" s="9"/>
      <c r="AI21" s="9"/>
      <c r="AJ21" s="9"/>
      <c r="AK21" s="9"/>
      <c r="AL21" s="9"/>
      <c r="AM21" s="9"/>
      <c r="AN21" s="9"/>
    </row>
    <row r="22" spans="1:40">
      <c r="A22" s="34"/>
      <c r="B22" s="34" t="s">
        <v>60</v>
      </c>
      <c r="C22" s="34"/>
      <c r="D22" s="616"/>
      <c r="E22" s="616"/>
      <c r="F22" s="616"/>
      <c r="G22" s="616"/>
      <c r="H22" s="616"/>
      <c r="I22" s="616"/>
      <c r="J22" s="616"/>
      <c r="K22" s="616"/>
      <c r="L22" s="616"/>
      <c r="M22" s="616"/>
      <c r="N22" s="616"/>
      <c r="O22" s="616"/>
      <c r="P22" s="616"/>
      <c r="Q22" s="616"/>
      <c r="R22" s="616"/>
      <c r="S22" s="616"/>
      <c r="T22" s="616"/>
      <c r="U22" s="616"/>
      <c r="V22" s="616"/>
      <c r="W22" s="616"/>
      <c r="X22" s="616"/>
      <c r="Y22" s="616">
        <v>-17000</v>
      </c>
      <c r="Z22" s="616">
        <v>-27000</v>
      </c>
      <c r="AA22" s="616">
        <v>-14000</v>
      </c>
      <c r="AB22" s="616">
        <v>-30000</v>
      </c>
      <c r="AC22" s="616"/>
      <c r="AD22" s="616"/>
      <c r="AE22" s="616"/>
      <c r="AF22" s="616"/>
      <c r="AG22" s="616"/>
      <c r="AH22" s="9"/>
      <c r="AI22" s="9"/>
      <c r="AJ22" s="9"/>
      <c r="AK22" s="9"/>
      <c r="AL22" s="9"/>
      <c r="AM22" s="9"/>
      <c r="AN22" s="9"/>
    </row>
    <row r="23" spans="1:40">
      <c r="A23" s="34"/>
      <c r="B23" s="34" t="s">
        <v>61</v>
      </c>
      <c r="C23" s="34"/>
      <c r="D23" s="616"/>
      <c r="E23" s="616"/>
      <c r="F23" s="616"/>
      <c r="G23" s="616"/>
      <c r="H23" s="616"/>
      <c r="I23" s="616"/>
      <c r="J23" s="616"/>
      <c r="K23" s="616"/>
      <c r="L23" s="616"/>
      <c r="M23" s="616"/>
      <c r="N23" s="616"/>
      <c r="O23" s="616"/>
      <c r="P23" s="616"/>
      <c r="Q23" s="616"/>
      <c r="R23" s="616"/>
      <c r="S23" s="616"/>
      <c r="T23" s="616"/>
      <c r="U23" s="616"/>
      <c r="V23" s="616"/>
      <c r="W23" s="616"/>
      <c r="X23" s="616"/>
      <c r="Y23" s="616">
        <v>-7000</v>
      </c>
      <c r="Z23" s="616">
        <v>-10000</v>
      </c>
      <c r="AA23" s="616">
        <v>-7000</v>
      </c>
      <c r="AB23" s="616">
        <v>-7000</v>
      </c>
      <c r="AC23" s="616"/>
      <c r="AD23" s="616"/>
      <c r="AE23" s="616"/>
      <c r="AF23" s="616"/>
      <c r="AG23" s="616"/>
      <c r="AH23" s="9"/>
      <c r="AI23" s="9"/>
      <c r="AJ23" s="9"/>
      <c r="AK23" s="9"/>
      <c r="AL23" s="9"/>
      <c r="AM23" s="9"/>
      <c r="AN23" s="9"/>
    </row>
    <row r="24" spans="1:40">
      <c r="A24" s="34"/>
      <c r="B24" s="34" t="s">
        <v>1206</v>
      </c>
      <c r="C24" s="34"/>
      <c r="D24" s="616"/>
      <c r="E24" s="616"/>
      <c r="F24" s="616"/>
      <c r="G24" s="616"/>
      <c r="H24" s="616"/>
      <c r="I24" s="616"/>
      <c r="J24" s="616"/>
      <c r="K24" s="616"/>
      <c r="L24" s="616"/>
      <c r="M24" s="616"/>
      <c r="N24" s="616"/>
      <c r="O24" s="616"/>
      <c r="P24" s="616"/>
      <c r="Q24" s="616"/>
      <c r="R24" s="616"/>
      <c r="S24" s="616">
        <v>-83000</v>
      </c>
      <c r="T24" s="616">
        <v>-87000</v>
      </c>
      <c r="U24" s="616">
        <v>-77000</v>
      </c>
      <c r="V24" s="616">
        <v>-253000</v>
      </c>
      <c r="W24" s="616">
        <v>-190000</v>
      </c>
      <c r="X24" s="616">
        <v>-115000</v>
      </c>
      <c r="Y24" s="616">
        <v>-123000</v>
      </c>
      <c r="Z24" s="616">
        <v>-116000</v>
      </c>
      <c r="AA24" s="616">
        <v>-114000</v>
      </c>
      <c r="AB24" s="616">
        <v>-150000</v>
      </c>
      <c r="AC24" s="616"/>
      <c r="AD24" s="616"/>
      <c r="AE24" s="616"/>
      <c r="AF24" s="616"/>
      <c r="AG24" s="616"/>
      <c r="AH24" s="9"/>
      <c r="AI24" s="9"/>
      <c r="AJ24" s="9"/>
      <c r="AK24" s="9"/>
      <c r="AL24" s="9"/>
      <c r="AM24" s="9"/>
      <c r="AN24" s="9"/>
    </row>
    <row r="25" spans="1:40">
      <c r="A25" s="34"/>
      <c r="B25" s="34" t="s">
        <v>62</v>
      </c>
      <c r="C25" s="34"/>
      <c r="D25" s="616"/>
      <c r="E25" s="616"/>
      <c r="F25" s="616"/>
      <c r="G25" s="616"/>
      <c r="H25" s="616"/>
      <c r="I25" s="616"/>
      <c r="J25" s="616"/>
      <c r="K25" s="616"/>
      <c r="L25" s="616"/>
      <c r="M25" s="616"/>
      <c r="N25" s="616"/>
      <c r="O25" s="616"/>
      <c r="P25" s="616"/>
      <c r="Q25" s="616"/>
      <c r="R25" s="616"/>
      <c r="S25" s="616"/>
      <c r="T25" s="616"/>
      <c r="U25" s="616"/>
      <c r="V25" s="616"/>
      <c r="W25" s="616"/>
      <c r="X25" s="616"/>
      <c r="Y25" s="616">
        <v>-1000</v>
      </c>
      <c r="Z25" s="616">
        <v>-17000</v>
      </c>
      <c r="AA25" s="616">
        <v>-22000</v>
      </c>
      <c r="AB25" s="616">
        <v>-24000</v>
      </c>
      <c r="AC25" s="616"/>
      <c r="AD25" s="616"/>
      <c r="AE25" s="616"/>
      <c r="AF25" s="616"/>
      <c r="AG25" s="616"/>
      <c r="AH25" s="9"/>
      <c r="AI25" s="9"/>
      <c r="AJ25" s="9"/>
      <c r="AK25" s="9"/>
      <c r="AL25" s="9"/>
      <c r="AM25" s="9"/>
      <c r="AN25" s="9"/>
    </row>
    <row r="26" spans="1:40">
      <c r="A26" s="34"/>
      <c r="B26" s="34" t="s">
        <v>63</v>
      </c>
      <c r="C26" s="34"/>
      <c r="D26" s="616"/>
      <c r="E26" s="616"/>
      <c r="F26" s="616"/>
      <c r="G26" s="616"/>
      <c r="H26" s="616"/>
      <c r="I26" s="616"/>
      <c r="J26" s="616"/>
      <c r="K26" s="616"/>
      <c r="L26" s="616"/>
      <c r="M26" s="616"/>
      <c r="N26" s="616"/>
      <c r="O26" s="616"/>
      <c r="P26" s="616"/>
      <c r="Q26" s="616"/>
      <c r="R26" s="616"/>
      <c r="S26" s="616">
        <v>-15000</v>
      </c>
      <c r="T26" s="616">
        <v>-4000</v>
      </c>
      <c r="U26" s="616">
        <v>1000</v>
      </c>
      <c r="V26" s="616">
        <v>-6000</v>
      </c>
      <c r="W26" s="616">
        <v>-8000</v>
      </c>
      <c r="X26" s="616">
        <v>-9000</v>
      </c>
      <c r="Y26" s="616">
        <v>-17000</v>
      </c>
      <c r="Z26" s="616">
        <v>-24000</v>
      </c>
      <c r="AA26" s="616">
        <v>-28000</v>
      </c>
      <c r="AB26" s="616">
        <v>-45000</v>
      </c>
      <c r="AC26" s="616"/>
      <c r="AD26" s="616"/>
      <c r="AE26" s="616"/>
      <c r="AF26" s="616"/>
      <c r="AG26" s="616"/>
      <c r="AH26" s="9"/>
      <c r="AI26" s="9"/>
      <c r="AJ26" s="9"/>
      <c r="AK26" s="9"/>
      <c r="AL26" s="9"/>
      <c r="AM26" s="9"/>
      <c r="AN26" s="9"/>
    </row>
    <row r="27" spans="1:40">
      <c r="A27" s="34"/>
      <c r="B27" s="34" t="s">
        <v>64</v>
      </c>
      <c r="C27" s="34"/>
      <c r="D27" s="616"/>
      <c r="E27" s="616"/>
      <c r="F27" s="616"/>
      <c r="G27" s="616"/>
      <c r="H27" s="616"/>
      <c r="I27" s="616"/>
      <c r="J27" s="616"/>
      <c r="K27" s="616"/>
      <c r="L27" s="616"/>
      <c r="M27" s="616"/>
      <c r="N27" s="616"/>
      <c r="O27" s="616"/>
      <c r="P27" s="616"/>
      <c r="Q27" s="616"/>
      <c r="R27" s="616"/>
      <c r="S27" s="616">
        <v>-544000</v>
      </c>
      <c r="T27" s="616">
        <v>-576000</v>
      </c>
      <c r="U27" s="616">
        <v>-596000</v>
      </c>
      <c r="V27" s="616"/>
      <c r="W27" s="616"/>
      <c r="X27" s="616"/>
      <c r="Y27" s="616">
        <v>-39000</v>
      </c>
      <c r="Z27" s="616">
        <v>-40000</v>
      </c>
      <c r="AA27" s="616">
        <v>-32000</v>
      </c>
      <c r="AB27" s="616">
        <v>-28000</v>
      </c>
      <c r="AC27" s="616"/>
      <c r="AD27" s="616"/>
      <c r="AE27" s="616"/>
      <c r="AF27" s="616"/>
      <c r="AG27" s="616"/>
      <c r="AH27" s="9"/>
      <c r="AI27" s="9"/>
      <c r="AJ27" s="9"/>
      <c r="AK27" s="9"/>
      <c r="AL27" s="9"/>
      <c r="AM27" s="9"/>
      <c r="AN27" s="9"/>
    </row>
    <row r="28" spans="1:40">
      <c r="A28" s="34"/>
      <c r="B28" s="34" t="s">
        <v>65</v>
      </c>
      <c r="C28" s="34"/>
      <c r="D28" s="616"/>
      <c r="E28" s="616"/>
      <c r="F28" s="616"/>
      <c r="G28" s="616"/>
      <c r="H28" s="616"/>
      <c r="I28" s="616"/>
      <c r="J28" s="616"/>
      <c r="K28" s="616"/>
      <c r="L28" s="616"/>
      <c r="M28" s="616"/>
      <c r="N28" s="616"/>
      <c r="O28" s="616"/>
      <c r="P28" s="616"/>
      <c r="Q28" s="616"/>
      <c r="R28" s="616"/>
      <c r="S28" s="616"/>
      <c r="T28" s="616"/>
      <c r="U28" s="616"/>
      <c r="V28" s="616">
        <v>-665000</v>
      </c>
      <c r="W28" s="616">
        <v>-637000</v>
      </c>
      <c r="X28" s="616">
        <v>-638000</v>
      </c>
      <c r="Y28" s="616">
        <v>-584000</v>
      </c>
      <c r="Z28" s="616">
        <v>-560000</v>
      </c>
      <c r="AA28" s="616">
        <v>-509000</v>
      </c>
      <c r="AB28" s="616">
        <v>-460000</v>
      </c>
      <c r="AC28" s="616"/>
      <c r="AD28" s="616"/>
      <c r="AE28" s="616"/>
      <c r="AF28" s="616"/>
      <c r="AG28" s="616"/>
      <c r="AH28" s="9"/>
      <c r="AI28" s="9"/>
      <c r="AJ28" s="9"/>
      <c r="AK28" s="9"/>
      <c r="AL28" s="9"/>
      <c r="AM28" s="9"/>
      <c r="AN28" s="9"/>
    </row>
    <row r="29" spans="1:40">
      <c r="A29" s="34"/>
      <c r="B29" s="34" t="s">
        <v>66</v>
      </c>
      <c r="C29" s="34"/>
      <c r="D29" s="616"/>
      <c r="E29" s="616"/>
      <c r="F29" s="616"/>
      <c r="G29" s="616"/>
      <c r="H29" s="616"/>
      <c r="I29" s="616"/>
      <c r="J29" s="616"/>
      <c r="K29" s="616"/>
      <c r="L29" s="616"/>
      <c r="M29" s="616"/>
      <c r="N29" s="616"/>
      <c r="O29" s="616"/>
      <c r="P29" s="616"/>
      <c r="Q29" s="616"/>
      <c r="R29" s="616"/>
      <c r="S29" s="616">
        <v>-23000</v>
      </c>
      <c r="T29" s="616">
        <v>-26000</v>
      </c>
      <c r="U29" s="616">
        <v>-32000</v>
      </c>
      <c r="V29" s="616"/>
      <c r="W29" s="616"/>
      <c r="X29" s="616"/>
      <c r="Y29" s="616">
        <v>-3000</v>
      </c>
      <c r="Z29" s="616">
        <v>-3000</v>
      </c>
      <c r="AA29" s="616">
        <v>-2000</v>
      </c>
      <c r="AB29" s="616">
        <v>-13000</v>
      </c>
      <c r="AC29" s="616"/>
      <c r="AD29" s="616"/>
      <c r="AE29" s="616"/>
      <c r="AF29" s="616"/>
      <c r="AG29" s="616"/>
      <c r="AH29" s="9"/>
      <c r="AI29" s="9"/>
      <c r="AJ29" s="9"/>
      <c r="AK29" s="9"/>
      <c r="AL29" s="9"/>
      <c r="AM29" s="9"/>
      <c r="AN29" s="9"/>
    </row>
    <row r="30" spans="1:40">
      <c r="A30" s="34"/>
      <c r="B30" s="34" t="s">
        <v>67</v>
      </c>
      <c r="C30" s="34"/>
      <c r="D30" s="616"/>
      <c r="E30" s="616"/>
      <c r="F30" s="616"/>
      <c r="G30" s="616"/>
      <c r="H30" s="616"/>
      <c r="I30" s="616"/>
      <c r="J30" s="616"/>
      <c r="K30" s="616"/>
      <c r="L30" s="616"/>
      <c r="M30" s="616"/>
      <c r="N30" s="616"/>
      <c r="O30" s="616"/>
      <c r="P30" s="616"/>
      <c r="Q30" s="616"/>
      <c r="R30" s="616"/>
      <c r="S30" s="616">
        <v>-391000</v>
      </c>
      <c r="T30" s="616">
        <v>-362000</v>
      </c>
      <c r="U30" s="616">
        <v>-278000</v>
      </c>
      <c r="V30" s="616">
        <v>-57000</v>
      </c>
      <c r="W30" s="616">
        <v>-46000</v>
      </c>
      <c r="X30" s="616">
        <v>-44000</v>
      </c>
      <c r="Y30" s="616">
        <v>-46000</v>
      </c>
      <c r="Z30" s="616">
        <v>-46000</v>
      </c>
      <c r="AA30" s="616">
        <v>-46000</v>
      </c>
      <c r="AB30" s="616">
        <v>-44000</v>
      </c>
      <c r="AC30" s="616"/>
      <c r="AD30" s="616"/>
      <c r="AE30" s="616"/>
      <c r="AF30" s="616"/>
      <c r="AG30" s="616"/>
      <c r="AH30" s="9"/>
      <c r="AI30" s="9"/>
      <c r="AJ30" s="9"/>
      <c r="AK30" s="9"/>
      <c r="AL30" s="9"/>
      <c r="AM30" s="9"/>
      <c r="AN30" s="9"/>
    </row>
    <row r="31" spans="1:40">
      <c r="A31" s="34"/>
      <c r="B31" s="34" t="s">
        <v>68</v>
      </c>
      <c r="C31" s="34"/>
      <c r="D31" s="616"/>
      <c r="E31" s="616"/>
      <c r="F31" s="616"/>
      <c r="G31" s="616"/>
      <c r="H31" s="616"/>
      <c r="I31" s="616"/>
      <c r="J31" s="616"/>
      <c r="K31" s="616"/>
      <c r="L31" s="616"/>
      <c r="M31" s="616"/>
      <c r="N31" s="616"/>
      <c r="O31" s="616"/>
      <c r="P31" s="616"/>
      <c r="Q31" s="616"/>
      <c r="R31" s="616"/>
      <c r="S31" s="616"/>
      <c r="T31" s="616"/>
      <c r="U31" s="616"/>
      <c r="V31" s="616"/>
      <c r="W31" s="616"/>
      <c r="X31" s="616"/>
      <c r="Y31" s="616"/>
      <c r="Z31" s="616"/>
      <c r="AA31" s="616">
        <v>0</v>
      </c>
      <c r="AB31" s="616">
        <v>-1000</v>
      </c>
      <c r="AC31" s="616"/>
      <c r="AD31" s="616"/>
      <c r="AE31" s="616"/>
      <c r="AF31" s="616"/>
      <c r="AG31" s="616"/>
      <c r="AH31" s="9"/>
      <c r="AI31" s="9"/>
      <c r="AJ31" s="9"/>
      <c r="AK31" s="9"/>
      <c r="AL31" s="9"/>
      <c r="AM31" s="9"/>
      <c r="AN31" s="9"/>
    </row>
    <row r="32" spans="1:40">
      <c r="A32" s="34"/>
      <c r="B32" s="34" t="s">
        <v>69</v>
      </c>
      <c r="C32" s="34"/>
      <c r="D32" s="616"/>
      <c r="E32" s="616"/>
      <c r="F32" s="616"/>
      <c r="G32" s="616"/>
      <c r="H32" s="616"/>
      <c r="I32" s="616"/>
      <c r="J32" s="616"/>
      <c r="K32" s="616"/>
      <c r="L32" s="616"/>
      <c r="M32" s="616"/>
      <c r="N32" s="616"/>
      <c r="O32" s="616"/>
      <c r="P32" s="616"/>
      <c r="Q32" s="616"/>
      <c r="R32" s="616"/>
      <c r="S32" s="616"/>
      <c r="T32" s="616"/>
      <c r="U32" s="616"/>
      <c r="V32" s="616"/>
      <c r="W32" s="616"/>
      <c r="X32" s="616"/>
      <c r="Y32" s="616">
        <v>-1000</v>
      </c>
      <c r="Z32" s="616">
        <v>-6000</v>
      </c>
      <c r="AA32" s="616">
        <v>-17000</v>
      </c>
      <c r="AB32" s="616">
        <v>-33000</v>
      </c>
      <c r="AC32" s="616"/>
      <c r="AD32" s="616"/>
      <c r="AE32" s="616"/>
      <c r="AF32" s="616"/>
      <c r="AG32" s="616"/>
      <c r="AH32" s="9"/>
      <c r="AI32" s="9"/>
      <c r="AJ32" s="9"/>
      <c r="AK32" s="9"/>
      <c r="AL32" s="9"/>
      <c r="AM32" s="9"/>
      <c r="AN32" s="9"/>
    </row>
    <row r="33" spans="1:40">
      <c r="A33" s="34"/>
      <c r="B33" s="34" t="s">
        <v>70</v>
      </c>
      <c r="C33" s="34"/>
      <c r="D33" s="616"/>
      <c r="E33" s="616"/>
      <c r="F33" s="702" t="e">
        <v>#REF!</v>
      </c>
      <c r="G33" s="702" t="e">
        <v>#REF!</v>
      </c>
      <c r="H33" s="702" t="e">
        <v>#REF!</v>
      </c>
      <c r="I33" s="702" t="e">
        <v>#REF!</v>
      </c>
      <c r="J33" s="702" t="e">
        <v>#REF!</v>
      </c>
      <c r="K33" s="702" t="e">
        <v>#REF!</v>
      </c>
      <c r="L33" s="702" t="e">
        <v>#REF!</v>
      </c>
      <c r="M33" s="702" t="e">
        <v>#REF!</v>
      </c>
      <c r="N33" s="702">
        <v>0</v>
      </c>
      <c r="O33" s="702">
        <v>0</v>
      </c>
      <c r="P33" s="702">
        <v>0</v>
      </c>
      <c r="Q33" s="702">
        <v>0</v>
      </c>
      <c r="R33" s="702"/>
      <c r="S33" s="702">
        <v>-262000</v>
      </c>
      <c r="T33" s="702">
        <v>-252000</v>
      </c>
      <c r="U33" s="702">
        <v>-253000</v>
      </c>
      <c r="V33" s="702">
        <v>-263000</v>
      </c>
      <c r="W33" s="702">
        <v>-247000</v>
      </c>
      <c r="X33" s="702">
        <v>-228000</v>
      </c>
      <c r="Y33" s="702">
        <v>-208000</v>
      </c>
      <c r="Z33" s="702">
        <v>-205000</v>
      </c>
      <c r="AA33" s="702">
        <v>-201000</v>
      </c>
      <c r="AB33" s="702">
        <v>-211000</v>
      </c>
      <c r="AC33" s="616"/>
      <c r="AD33" s="616"/>
      <c r="AE33" s="616"/>
      <c r="AF33" s="616"/>
      <c r="AG33" s="616"/>
      <c r="AH33" s="9"/>
      <c r="AI33" s="9"/>
      <c r="AJ33" s="9"/>
      <c r="AK33" s="9"/>
      <c r="AL33" s="9"/>
      <c r="AM33" s="9"/>
      <c r="AN33" s="9"/>
    </row>
    <row r="34" spans="1:40">
      <c r="A34" s="34"/>
      <c r="B34" s="722" t="s">
        <v>71</v>
      </c>
      <c r="C34" s="34"/>
      <c r="D34" s="616"/>
      <c r="E34" s="616"/>
      <c r="F34" s="616" t="e">
        <v>#REF!</v>
      </c>
      <c r="G34" s="616" t="e">
        <v>#REF!</v>
      </c>
      <c r="H34" s="616" t="e">
        <v>#REF!</v>
      </c>
      <c r="I34" s="616" t="e">
        <v>#REF!</v>
      </c>
      <c r="J34" s="616" t="e">
        <v>#REF!</v>
      </c>
      <c r="K34" s="616" t="e">
        <v>#REF!</v>
      </c>
      <c r="L34" s="616" t="e">
        <v>#REF!</v>
      </c>
      <c r="M34" s="616" t="e">
        <v>#REF!</v>
      </c>
      <c r="N34" s="616">
        <v>-720378</v>
      </c>
      <c r="O34" s="616">
        <v>-1594481</v>
      </c>
      <c r="P34" s="616">
        <v>-788511</v>
      </c>
      <c r="Q34" s="616">
        <v>-743625</v>
      </c>
      <c r="R34" s="616">
        <v>0</v>
      </c>
      <c r="S34" s="616">
        <v>-2192000</v>
      </c>
      <c r="T34" s="616">
        <v>-1985000</v>
      </c>
      <c r="U34" s="616">
        <v>-1859000</v>
      </c>
      <c r="V34" s="616">
        <v>-1918000</v>
      </c>
      <c r="W34" s="616">
        <v>-1641000</v>
      </c>
      <c r="X34" s="616">
        <v>-1494000</v>
      </c>
      <c r="Y34" s="616">
        <v>-1703000</v>
      </c>
      <c r="Z34" s="616">
        <v>-1955000</v>
      </c>
      <c r="AA34" s="616">
        <v>-1627000</v>
      </c>
      <c r="AB34" s="616">
        <v>-2020000</v>
      </c>
      <c r="AC34" s="616"/>
      <c r="AD34" s="616">
        <v>515000</v>
      </c>
      <c r="AE34" s="616"/>
      <c r="AF34" s="616"/>
      <c r="AG34" s="616"/>
      <c r="AH34" s="9"/>
      <c r="AI34" s="9"/>
      <c r="AJ34" s="9"/>
      <c r="AK34" s="9"/>
      <c r="AL34" s="9"/>
      <c r="AM34" s="9"/>
      <c r="AN34" s="9"/>
    </row>
    <row r="35" spans="1:40">
      <c r="A35" s="34"/>
      <c r="B35" s="613"/>
      <c r="C35" s="34"/>
      <c r="D35" s="616"/>
      <c r="E35" s="616"/>
      <c r="F35" s="616"/>
      <c r="G35" s="616"/>
      <c r="H35" s="616"/>
      <c r="I35" s="616"/>
      <c r="J35" s="616"/>
      <c r="K35" s="616"/>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9"/>
      <c r="AI35" s="9"/>
      <c r="AJ35" s="9"/>
      <c r="AK35" s="9"/>
      <c r="AL35" s="9"/>
      <c r="AM35" s="9"/>
      <c r="AN35" s="9"/>
    </row>
    <row r="36" spans="1:40">
      <c r="A36" s="721" t="s">
        <v>72</v>
      </c>
      <c r="B36" s="43"/>
      <c r="C36" s="43"/>
      <c r="D36" s="702"/>
      <c r="E36" s="616"/>
      <c r="F36" s="702" t="e">
        <v>#REF!</v>
      </c>
      <c r="G36" s="702" t="e">
        <v>#REF!</v>
      </c>
      <c r="H36" s="702" t="e">
        <v>#REF!</v>
      </c>
      <c r="I36" s="702" t="e">
        <v>#REF!</v>
      </c>
      <c r="J36" s="702" t="e">
        <v>#REF!</v>
      </c>
      <c r="K36" s="702" t="e">
        <v>#REF!</v>
      </c>
      <c r="L36" s="702" t="e">
        <v>#REF!</v>
      </c>
      <c r="M36" s="702" t="e">
        <v>#REF!</v>
      </c>
      <c r="N36" s="702">
        <v>1056189</v>
      </c>
      <c r="O36" s="702">
        <v>989158</v>
      </c>
      <c r="P36" s="702">
        <v>1083424</v>
      </c>
      <c r="Q36" s="702">
        <v>1295974</v>
      </c>
      <c r="R36" s="702">
        <v>0</v>
      </c>
      <c r="S36" s="702">
        <v>509000</v>
      </c>
      <c r="T36" s="702">
        <v>541000</v>
      </c>
      <c r="U36" s="702">
        <v>587000</v>
      </c>
      <c r="V36" s="702">
        <v>525000</v>
      </c>
      <c r="W36" s="702">
        <v>523000</v>
      </c>
      <c r="X36" s="702">
        <v>465000</v>
      </c>
      <c r="Y36" s="702">
        <v>449000</v>
      </c>
      <c r="Z36" s="702">
        <v>505000</v>
      </c>
      <c r="AA36" s="702">
        <v>446000</v>
      </c>
      <c r="AB36" s="702">
        <v>553000</v>
      </c>
      <c r="AC36" s="616"/>
      <c r="AD36" s="616">
        <v>10000</v>
      </c>
      <c r="AE36" s="616"/>
      <c r="AF36" s="616"/>
      <c r="AG36" s="616"/>
      <c r="AH36" s="9"/>
      <c r="AI36" s="9"/>
      <c r="AJ36" s="9"/>
      <c r="AK36" s="9"/>
      <c r="AL36" s="9"/>
      <c r="AM36" s="9"/>
      <c r="AN36" s="9"/>
    </row>
    <row r="37" spans="1:40">
      <c r="A37" s="34"/>
      <c r="B37" s="1111" t="s">
        <v>73</v>
      </c>
      <c r="C37" s="1111"/>
      <c r="D37" s="616"/>
      <c r="E37" s="616"/>
      <c r="F37" s="616"/>
      <c r="G37" s="616"/>
      <c r="H37" s="616"/>
      <c r="I37" s="616"/>
      <c r="J37" s="616"/>
      <c r="K37" s="616"/>
      <c r="L37" s="616"/>
      <c r="M37" s="616"/>
      <c r="N37" s="616">
        <v>658</v>
      </c>
      <c r="O37" s="616">
        <v>45497</v>
      </c>
      <c r="P37" s="616">
        <v>-114109</v>
      </c>
      <c r="Q37" s="616">
        <v>-14872</v>
      </c>
      <c r="R37" s="616"/>
      <c r="S37" s="616"/>
      <c r="T37" s="616"/>
      <c r="U37" s="616"/>
      <c r="V37" s="616">
        <v>-37000</v>
      </c>
      <c r="W37" s="616"/>
      <c r="X37" s="616"/>
      <c r="Y37" s="616"/>
      <c r="Z37" s="616">
        <v>2000</v>
      </c>
      <c r="AA37" s="616"/>
      <c r="AB37" s="616">
        <v>7000</v>
      </c>
      <c r="AC37" s="616"/>
      <c r="AD37" s="616"/>
      <c r="AE37" s="616"/>
      <c r="AF37" s="616"/>
      <c r="AG37" s="616"/>
      <c r="AH37" s="9"/>
      <c r="AI37" s="9"/>
      <c r="AJ37" s="9"/>
      <c r="AK37" s="9"/>
      <c r="AL37" s="9"/>
      <c r="AM37" s="9"/>
      <c r="AN37" s="9"/>
    </row>
    <row r="38" spans="1:40">
      <c r="A38" s="34"/>
      <c r="B38" s="1111" t="s">
        <v>1406</v>
      </c>
      <c r="C38" s="1111"/>
      <c r="D38" s="616"/>
      <c r="E38" s="616"/>
      <c r="F38" s="616" t="e">
        <v>#REF!</v>
      </c>
      <c r="G38" s="616" t="e">
        <v>#REF!</v>
      </c>
      <c r="H38" s="616" t="e">
        <v>#REF!</v>
      </c>
      <c r="I38" s="616" t="e">
        <v>#REF!</v>
      </c>
      <c r="J38" s="616" t="e">
        <v>#REF!</v>
      </c>
      <c r="K38" s="616" t="e">
        <v>#REF!</v>
      </c>
      <c r="L38" s="616" t="e">
        <v>#REF!</v>
      </c>
      <c r="M38" s="616" t="e">
        <v>#REF!</v>
      </c>
      <c r="N38" s="616">
        <v>-107132</v>
      </c>
      <c r="O38" s="616">
        <v>-139556</v>
      </c>
      <c r="P38" s="616">
        <v>-149793</v>
      </c>
      <c r="Q38" s="616">
        <v>-174318</v>
      </c>
      <c r="R38" s="616"/>
      <c r="S38" s="616">
        <v>-193000</v>
      </c>
      <c r="T38" s="616">
        <v>-195000</v>
      </c>
      <c r="U38" s="616">
        <v>-190000</v>
      </c>
      <c r="V38" s="616">
        <v>-204000</v>
      </c>
      <c r="W38" s="616">
        <v>-203000</v>
      </c>
      <c r="X38" s="707">
        <v>-203000</v>
      </c>
      <c r="Y38" s="707">
        <v>-215000</v>
      </c>
      <c r="Z38" s="616">
        <v>-205000</v>
      </c>
      <c r="AA38" s="616">
        <v>-220000</v>
      </c>
      <c r="AB38" s="616">
        <v>-249000</v>
      </c>
      <c r="AC38" s="616"/>
      <c r="AD38" s="616"/>
      <c r="AE38" s="616"/>
      <c r="AF38" s="616"/>
      <c r="AG38" s="616"/>
      <c r="AH38" s="9"/>
      <c r="AI38" s="9"/>
      <c r="AJ38" s="9"/>
      <c r="AK38" s="9"/>
      <c r="AL38" s="9"/>
      <c r="AM38" s="9"/>
      <c r="AN38" s="9"/>
    </row>
    <row r="39" spans="1:40">
      <c r="A39" s="34"/>
      <c r="B39" s="1111" t="s">
        <v>82</v>
      </c>
      <c r="C39" s="1111"/>
      <c r="D39" s="616"/>
      <c r="E39" s="616"/>
      <c r="F39" s="616" t="e">
        <v>#REF!</v>
      </c>
      <c r="G39" s="616" t="e">
        <v>#REF!</v>
      </c>
      <c r="H39" s="616" t="e">
        <v>#REF!</v>
      </c>
      <c r="I39" s="616" t="e">
        <v>#REF!</v>
      </c>
      <c r="J39" s="616" t="e">
        <v>#REF!</v>
      </c>
      <c r="K39" s="616" t="e">
        <v>#REF!</v>
      </c>
      <c r="L39" s="616" t="e">
        <v>#REF!</v>
      </c>
      <c r="M39" s="616" t="e">
        <v>#REF!</v>
      </c>
      <c r="N39" s="616">
        <v>0</v>
      </c>
      <c r="O39" s="616">
        <v>-98</v>
      </c>
      <c r="P39" s="616">
        <v>-1883</v>
      </c>
      <c r="Q39" s="616">
        <v>-2012</v>
      </c>
      <c r="R39" s="616"/>
      <c r="S39" s="616">
        <v>2000</v>
      </c>
      <c r="T39" s="616"/>
      <c r="U39" s="616"/>
      <c r="V39" s="616"/>
      <c r="W39" s="616"/>
      <c r="X39" s="616"/>
      <c r="Y39" s="616"/>
      <c r="Z39" s="616"/>
      <c r="AA39" s="616"/>
      <c r="AB39" s="616"/>
      <c r="AC39" s="616"/>
      <c r="AD39" s="616"/>
      <c r="AE39" s="616"/>
      <c r="AF39" s="616"/>
      <c r="AG39" s="616"/>
      <c r="AH39" s="9"/>
      <c r="AI39" s="9"/>
      <c r="AJ39" s="9"/>
      <c r="AK39" s="9"/>
      <c r="AL39" s="9"/>
      <c r="AM39" s="9"/>
      <c r="AN39" s="9"/>
    </row>
    <row r="40" spans="1:40">
      <c r="A40" s="34"/>
      <c r="B40" s="1111" t="s">
        <v>1178</v>
      </c>
      <c r="C40" s="1111"/>
      <c r="D40" s="616"/>
      <c r="E40" s="616"/>
      <c r="F40" s="616" t="e">
        <v>#REF!</v>
      </c>
      <c r="G40" s="616" t="e">
        <v>#REF!</v>
      </c>
      <c r="H40" s="616" t="e">
        <v>#REF!</v>
      </c>
      <c r="I40" s="616" t="e">
        <v>#REF!</v>
      </c>
      <c r="J40" s="616" t="e">
        <v>#REF!</v>
      </c>
      <c r="K40" s="616" t="e">
        <v>#REF!</v>
      </c>
      <c r="L40" s="616" t="e">
        <v>#REF!</v>
      </c>
      <c r="M40" s="726" t="e">
        <v>#REF!</v>
      </c>
      <c r="N40" s="616">
        <v>0</v>
      </c>
      <c r="O40" s="616">
        <v>0</v>
      </c>
      <c r="P40" s="616">
        <v>0</v>
      </c>
      <c r="Q40" s="616">
        <v>0</v>
      </c>
      <c r="R40" s="616"/>
      <c r="S40" s="616">
        <v>21000</v>
      </c>
      <c r="T40" s="616">
        <v>-28000</v>
      </c>
      <c r="U40" s="616">
        <v>1000</v>
      </c>
      <c r="V40" s="616">
        <v>-24000</v>
      </c>
      <c r="W40" s="616">
        <v>-10000</v>
      </c>
      <c r="X40" s="616">
        <v>-12000</v>
      </c>
      <c r="Y40" s="616">
        <v>3000</v>
      </c>
      <c r="Z40" s="616"/>
      <c r="AA40" s="616"/>
      <c r="AB40" s="616"/>
      <c r="AC40" s="616"/>
      <c r="AD40" s="616"/>
      <c r="AE40" s="616"/>
      <c r="AF40" s="616"/>
      <c r="AG40" s="616"/>
      <c r="AH40" s="9"/>
      <c r="AI40" s="9"/>
      <c r="AJ40" s="9"/>
      <c r="AK40" s="9"/>
      <c r="AL40" s="9"/>
      <c r="AM40" s="9"/>
      <c r="AN40" s="9"/>
    </row>
    <row r="41" spans="1:40">
      <c r="A41" s="34"/>
      <c r="B41" s="1256" t="s">
        <v>1405</v>
      </c>
      <c r="D41" s="616"/>
      <c r="E41" s="616"/>
      <c r="F41" s="616"/>
      <c r="G41" s="616"/>
      <c r="H41" s="616"/>
      <c r="I41" s="616"/>
      <c r="J41" s="616"/>
      <c r="K41" s="616"/>
      <c r="L41" s="616"/>
      <c r="M41" s="726"/>
      <c r="N41" s="616"/>
      <c r="O41" s="616"/>
      <c r="P41" s="616"/>
      <c r="Q41" s="616"/>
      <c r="R41" s="616"/>
      <c r="S41" s="616"/>
      <c r="T41" s="616"/>
      <c r="U41" s="616"/>
      <c r="V41" s="616"/>
      <c r="W41" s="616">
        <v>2000</v>
      </c>
      <c r="X41" s="616"/>
      <c r="Y41" s="616"/>
      <c r="Z41" s="616"/>
      <c r="AA41" s="616"/>
      <c r="AB41" s="616"/>
      <c r="AC41" s="616"/>
      <c r="AD41" s="616"/>
      <c r="AE41" s="616"/>
      <c r="AF41" s="616"/>
      <c r="AG41" s="616"/>
      <c r="AH41" s="9"/>
      <c r="AI41" s="9"/>
      <c r="AJ41" s="9"/>
      <c r="AK41" s="9"/>
      <c r="AL41" s="9"/>
      <c r="AM41" s="9"/>
      <c r="AN41" s="9"/>
    </row>
    <row r="42" spans="1:40">
      <c r="A42" s="34"/>
      <c r="B42" s="1256" t="s">
        <v>1273</v>
      </c>
      <c r="C42" s="1111"/>
      <c r="D42" s="616"/>
      <c r="E42" s="616"/>
      <c r="F42" s="616"/>
      <c r="G42" s="616"/>
      <c r="H42" s="616"/>
      <c r="I42" s="616"/>
      <c r="J42" s="616"/>
      <c r="K42" s="616"/>
      <c r="L42" s="616"/>
      <c r="M42" s="726"/>
      <c r="N42" s="616"/>
      <c r="O42" s="616"/>
      <c r="P42" s="616"/>
      <c r="Q42" s="616"/>
      <c r="R42" s="616"/>
      <c r="S42" s="616"/>
      <c r="T42" s="616"/>
      <c r="U42" s="616"/>
      <c r="V42" s="616"/>
      <c r="W42" s="616">
        <v>-217000</v>
      </c>
      <c r="X42" s="616"/>
      <c r="Y42" s="616"/>
      <c r="Z42" s="616"/>
      <c r="AA42" s="616"/>
      <c r="AB42" s="616"/>
      <c r="AC42" s="616"/>
      <c r="AD42" s="616"/>
      <c r="AE42" s="616"/>
      <c r="AF42" s="616"/>
      <c r="AG42" s="616"/>
      <c r="AH42" s="9"/>
      <c r="AI42" s="9"/>
      <c r="AJ42" s="9"/>
      <c r="AK42" s="9"/>
      <c r="AL42" s="9"/>
      <c r="AM42" s="9"/>
      <c r="AN42" s="9"/>
    </row>
    <row r="43" spans="1:40">
      <c r="A43" s="34"/>
      <c r="B43" s="1256" t="s">
        <v>1207</v>
      </c>
      <c r="C43" s="1111"/>
      <c r="D43" s="616"/>
      <c r="E43" s="616"/>
      <c r="F43" s="616"/>
      <c r="G43" s="616"/>
      <c r="H43" s="616"/>
      <c r="I43" s="616"/>
      <c r="J43" s="616"/>
      <c r="K43" s="616"/>
      <c r="L43" s="616"/>
      <c r="M43" s="726"/>
      <c r="N43" s="616"/>
      <c r="O43" s="616"/>
      <c r="P43" s="616"/>
      <c r="Q43" s="616"/>
      <c r="R43" s="616"/>
      <c r="S43" s="616"/>
      <c r="T43" s="616"/>
      <c r="U43" s="616"/>
      <c r="V43" s="616"/>
      <c r="W43" s="616">
        <v>-43000</v>
      </c>
      <c r="X43" s="616"/>
      <c r="Y43" s="616"/>
      <c r="Z43" s="616"/>
      <c r="AA43" s="616"/>
      <c r="AB43" s="616"/>
      <c r="AC43" s="616"/>
      <c r="AD43" s="616"/>
      <c r="AE43" s="616"/>
      <c r="AF43" s="616"/>
      <c r="AG43" s="616"/>
      <c r="AH43" s="9"/>
      <c r="AI43" s="9"/>
      <c r="AJ43" s="9"/>
      <c r="AK43" s="9"/>
      <c r="AL43" s="9"/>
      <c r="AM43" s="9"/>
      <c r="AN43" s="9"/>
    </row>
    <row r="44" spans="1:40">
      <c r="A44" s="34"/>
      <c r="B44" s="1256" t="s">
        <v>362</v>
      </c>
      <c r="C44" s="1111"/>
      <c r="D44" s="616"/>
      <c r="E44" s="616"/>
      <c r="F44" s="616"/>
      <c r="G44" s="616"/>
      <c r="H44" s="616"/>
      <c r="I44" s="616"/>
      <c r="J44" s="616"/>
      <c r="K44" s="616"/>
      <c r="L44" s="616"/>
      <c r="M44" s="726"/>
      <c r="N44" s="616"/>
      <c r="O44" s="616"/>
      <c r="P44" s="616"/>
      <c r="Q44" s="616"/>
      <c r="R44" s="616"/>
      <c r="S44" s="616"/>
      <c r="T44" s="616"/>
      <c r="U44" s="616"/>
      <c r="V44" s="616"/>
      <c r="W44" s="616">
        <v>-36000</v>
      </c>
      <c r="X44" s="616"/>
      <c r="Y44" s="616"/>
      <c r="Z44" s="616"/>
      <c r="AA44" s="616"/>
      <c r="AB44" s="616"/>
      <c r="AC44" s="616"/>
      <c r="AD44" s="616"/>
      <c r="AE44" s="616"/>
      <c r="AF44" s="616"/>
      <c r="AG44" s="616"/>
      <c r="AH44" s="9"/>
      <c r="AI44" s="9"/>
      <c r="AJ44" s="9"/>
      <c r="AK44" s="9"/>
      <c r="AL44" s="9"/>
      <c r="AM44" s="9"/>
      <c r="AN44" s="9"/>
    </row>
    <row r="45" spans="1:40">
      <c r="A45" s="34"/>
      <c r="B45" s="1111" t="s">
        <v>1198</v>
      </c>
      <c r="C45" s="1111"/>
      <c r="D45" s="616"/>
      <c r="E45" s="616"/>
      <c r="F45" s="616"/>
      <c r="G45" s="616"/>
      <c r="H45" s="616"/>
      <c r="I45" s="616"/>
      <c r="J45" s="616"/>
      <c r="K45" s="616"/>
      <c r="L45" s="616"/>
      <c r="M45" s="616"/>
      <c r="N45" s="616"/>
      <c r="O45" s="616"/>
      <c r="P45" s="616"/>
      <c r="Q45" s="616"/>
      <c r="R45" s="616"/>
      <c r="S45" s="616"/>
      <c r="T45" s="616"/>
      <c r="U45" s="616"/>
      <c r="V45" s="616"/>
      <c r="W45" s="616"/>
      <c r="X45" s="616"/>
      <c r="Y45" s="616"/>
      <c r="Z45" s="616">
        <v>5000</v>
      </c>
      <c r="AA45" s="616"/>
      <c r="AB45" s="616"/>
      <c r="AC45" s="616"/>
      <c r="AD45" s="616"/>
      <c r="AE45" s="616"/>
      <c r="AF45" s="616"/>
      <c r="AG45" s="616"/>
      <c r="AH45" s="9"/>
      <c r="AI45" s="9"/>
      <c r="AJ45" s="9"/>
      <c r="AK45" s="9"/>
      <c r="AL45" s="9"/>
      <c r="AM45" s="9"/>
      <c r="AN45" s="9"/>
    </row>
    <row r="46" spans="1:40">
      <c r="A46" s="34"/>
      <c r="B46" s="1111" t="s">
        <v>1180</v>
      </c>
      <c r="C46" s="1111"/>
      <c r="D46" s="616"/>
      <c r="E46" s="616"/>
      <c r="F46" s="616"/>
      <c r="G46" s="616"/>
      <c r="H46" s="616"/>
      <c r="I46" s="616"/>
      <c r="J46" s="616"/>
      <c r="K46" s="616"/>
      <c r="L46" s="616"/>
      <c r="M46" s="616"/>
      <c r="N46" s="616"/>
      <c r="O46" s="616"/>
      <c r="P46" s="616"/>
      <c r="Q46" s="616"/>
      <c r="R46" s="616"/>
      <c r="S46" s="702"/>
      <c r="T46" s="702"/>
      <c r="U46" s="702"/>
      <c r="V46" s="702"/>
      <c r="W46" s="702"/>
      <c r="X46" s="702"/>
      <c r="Y46" s="702"/>
      <c r="Z46" s="702">
        <v>2000</v>
      </c>
      <c r="AA46" s="702"/>
      <c r="AB46" s="702"/>
      <c r="AC46" s="616"/>
      <c r="AD46" s="616"/>
      <c r="AE46" s="616"/>
      <c r="AF46" s="616"/>
      <c r="AG46" s="616"/>
      <c r="AH46" s="9"/>
      <c r="AI46" s="9"/>
      <c r="AJ46" s="9"/>
      <c r="AK46" s="9"/>
      <c r="AL46" s="9"/>
      <c r="AM46" s="9"/>
      <c r="AN46" s="9"/>
    </row>
    <row r="47" spans="1:40">
      <c r="A47" s="34"/>
      <c r="B47" s="1257" t="s">
        <v>83</v>
      </c>
      <c r="C47" s="1111"/>
      <c r="D47" s="616"/>
      <c r="E47" s="616"/>
      <c r="F47" s="616" t="e">
        <v>#REF!</v>
      </c>
      <c r="G47" s="616" t="e">
        <v>#REF!</v>
      </c>
      <c r="H47" s="616" t="e">
        <v>#REF!</v>
      </c>
      <c r="I47" s="616" t="e">
        <v>#REF!</v>
      </c>
      <c r="J47" s="616" t="e">
        <v>#REF!</v>
      </c>
      <c r="K47" s="616" t="e">
        <v>#REF!</v>
      </c>
      <c r="L47" s="616" t="e">
        <v>#REF!</v>
      </c>
      <c r="M47" s="616" t="e">
        <v>#REF!</v>
      </c>
      <c r="N47" s="616">
        <v>-106474</v>
      </c>
      <c r="O47" s="616">
        <v>-94157</v>
      </c>
      <c r="P47" s="616">
        <v>-265785</v>
      </c>
      <c r="Q47" s="616">
        <v>-191202</v>
      </c>
      <c r="R47" s="616">
        <v>0</v>
      </c>
      <c r="S47" s="616">
        <v>-170000</v>
      </c>
      <c r="T47" s="616">
        <v>-223000</v>
      </c>
      <c r="U47" s="616">
        <v>-189000</v>
      </c>
      <c r="V47" s="616">
        <v>-265000</v>
      </c>
      <c r="W47" s="616">
        <v>-507000</v>
      </c>
      <c r="X47" s="616">
        <v>-215000</v>
      </c>
      <c r="Y47" s="616">
        <v>-212000</v>
      </c>
      <c r="Z47" s="616">
        <v>-196000</v>
      </c>
      <c r="AA47" s="616">
        <v>-220000</v>
      </c>
      <c r="AB47" s="616">
        <v>-242000</v>
      </c>
      <c r="AC47" s="616"/>
      <c r="AD47" s="616"/>
      <c r="AE47" s="616"/>
      <c r="AF47" s="616"/>
      <c r="AG47" s="616"/>
      <c r="AH47" s="9"/>
      <c r="AI47" s="9"/>
      <c r="AJ47" s="9"/>
      <c r="AK47" s="9"/>
      <c r="AL47" s="9"/>
      <c r="AM47" s="9"/>
      <c r="AN47" s="9"/>
    </row>
    <row r="48" spans="1:40">
      <c r="A48" s="34"/>
      <c r="B48" s="1257"/>
      <c r="C48" s="1111"/>
      <c r="D48" s="616"/>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c r="AE48" s="616"/>
      <c r="AF48" s="616"/>
      <c r="AG48" s="616"/>
      <c r="AH48" s="9"/>
      <c r="AI48" s="9"/>
      <c r="AJ48" s="9"/>
      <c r="AK48" s="9"/>
      <c r="AL48" s="9"/>
      <c r="AM48" s="9"/>
      <c r="AN48" s="9"/>
    </row>
    <row r="49" spans="1:40">
      <c r="A49" s="721" t="s">
        <v>84</v>
      </c>
      <c r="B49" s="1123"/>
      <c r="C49" s="1123"/>
      <c r="D49" s="702"/>
      <c r="E49" s="616"/>
      <c r="F49" s="702" t="e">
        <v>#REF!</v>
      </c>
      <c r="G49" s="702" t="e">
        <v>#REF!</v>
      </c>
      <c r="H49" s="702" t="e">
        <v>#REF!</v>
      </c>
      <c r="I49" s="702" t="e">
        <v>#REF!</v>
      </c>
      <c r="J49" s="702" t="e">
        <v>#REF!</v>
      </c>
      <c r="K49" s="702" t="e">
        <v>#REF!</v>
      </c>
      <c r="L49" s="702" t="e">
        <v>#REF!</v>
      </c>
      <c r="M49" s="702" t="e">
        <v>#REF!</v>
      </c>
      <c r="N49" s="702">
        <v>949715</v>
      </c>
      <c r="O49" s="702">
        <v>895001</v>
      </c>
      <c r="P49" s="702">
        <v>817639</v>
      </c>
      <c r="Q49" s="702">
        <v>1104772</v>
      </c>
      <c r="R49" s="702">
        <v>0</v>
      </c>
      <c r="S49" s="702">
        <v>339000</v>
      </c>
      <c r="T49" s="702">
        <v>318000</v>
      </c>
      <c r="U49" s="702">
        <v>398000</v>
      </c>
      <c r="V49" s="702">
        <v>260000</v>
      </c>
      <c r="W49" s="702">
        <v>16000</v>
      </c>
      <c r="X49" s="702">
        <v>250000</v>
      </c>
      <c r="Y49" s="702">
        <v>237000</v>
      </c>
      <c r="Z49" s="702">
        <v>309000</v>
      </c>
      <c r="AA49" s="702">
        <v>226000</v>
      </c>
      <c r="AB49" s="702">
        <v>311000</v>
      </c>
      <c r="AC49" s="616"/>
      <c r="AD49" s="616"/>
      <c r="AE49" s="616"/>
      <c r="AF49" s="616"/>
      <c r="AG49" s="616"/>
      <c r="AH49" s="9"/>
      <c r="AI49" s="9"/>
      <c r="AJ49" s="9"/>
      <c r="AK49" s="9"/>
      <c r="AL49" s="9"/>
      <c r="AM49" s="9"/>
      <c r="AN49" s="9"/>
    </row>
    <row r="50" spans="1:40">
      <c r="A50" s="34"/>
      <c r="B50" s="1120"/>
      <c r="C50" s="1111"/>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c r="AC50" s="616"/>
      <c r="AD50" s="616"/>
      <c r="AE50" s="616"/>
      <c r="AF50" s="616"/>
      <c r="AG50" s="616"/>
      <c r="AH50" s="9"/>
      <c r="AI50" s="9"/>
      <c r="AJ50" s="9"/>
      <c r="AK50" s="9"/>
      <c r="AL50" s="9"/>
      <c r="AM50" s="9"/>
      <c r="AN50" s="9"/>
    </row>
    <row r="51" spans="1:40">
      <c r="A51" s="721" t="s">
        <v>85</v>
      </c>
      <c r="B51" s="1134"/>
      <c r="C51" s="1123"/>
      <c r="D51" s="702"/>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c r="AC51" s="616"/>
      <c r="AD51" s="616"/>
      <c r="AE51" s="616"/>
      <c r="AF51" s="616"/>
      <c r="AG51" s="616"/>
      <c r="AH51" s="9"/>
      <c r="AI51" s="9"/>
      <c r="AJ51" s="9"/>
      <c r="AK51" s="9"/>
      <c r="AL51" s="9"/>
      <c r="AM51" s="9"/>
      <c r="AN51" s="9"/>
    </row>
    <row r="52" spans="1:40">
      <c r="A52" s="34"/>
      <c r="B52" s="1111" t="s">
        <v>85</v>
      </c>
      <c r="C52" s="1111"/>
      <c r="D52" s="616"/>
      <c r="E52" s="616"/>
      <c r="F52" s="616" t="e">
        <v>#REF!</v>
      </c>
      <c r="G52" s="616" t="e">
        <v>#REF!</v>
      </c>
      <c r="H52" s="616" t="e">
        <v>#REF!</v>
      </c>
      <c r="I52" s="616" t="e">
        <v>#REF!</v>
      </c>
      <c r="J52" s="616" t="e">
        <v>#REF!</v>
      </c>
      <c r="K52" s="616" t="e">
        <v>#REF!</v>
      </c>
      <c r="L52" s="616" t="e">
        <v>#REF!</v>
      </c>
      <c r="M52" s="616" t="e">
        <v>#REF!</v>
      </c>
      <c r="N52" s="616">
        <v>-56323</v>
      </c>
      <c r="O52" s="616">
        <v>-56898</v>
      </c>
      <c r="P52" s="616">
        <v>-73026</v>
      </c>
      <c r="Q52" s="616">
        <v>-86816</v>
      </c>
      <c r="R52" s="616"/>
      <c r="S52" s="616">
        <v>-72000</v>
      </c>
      <c r="T52" s="616">
        <v>-66000</v>
      </c>
      <c r="U52" s="616">
        <v>-77000</v>
      </c>
      <c r="V52" s="616">
        <v>-98000</v>
      </c>
      <c r="W52" s="616">
        <v>-101000</v>
      </c>
      <c r="X52" s="616">
        <v>-93000</v>
      </c>
      <c r="Y52" s="616">
        <v>-84000</v>
      </c>
      <c r="Z52" s="616">
        <v>-70000</v>
      </c>
      <c r="AA52" s="616">
        <v>-55000</v>
      </c>
      <c r="AB52" s="616">
        <v>-50000</v>
      </c>
      <c r="AC52" s="616"/>
      <c r="AD52" s="616"/>
      <c r="AE52" s="616"/>
      <c r="AF52" s="616"/>
      <c r="AG52" s="616"/>
      <c r="AH52" s="9"/>
      <c r="AI52" s="9"/>
      <c r="AJ52" s="9"/>
      <c r="AK52" s="9"/>
      <c r="AL52" s="9"/>
      <c r="AM52" s="9"/>
      <c r="AN52" s="9"/>
    </row>
    <row r="53" spans="1:40">
      <c r="A53" s="34"/>
      <c r="B53" s="1111" t="s">
        <v>73</v>
      </c>
      <c r="C53" s="1111"/>
      <c r="D53" s="616"/>
      <c r="E53" s="616"/>
      <c r="F53" s="702"/>
      <c r="G53" s="702"/>
      <c r="H53" s="702"/>
      <c r="I53" s="702"/>
      <c r="J53" s="702"/>
      <c r="K53" s="702"/>
      <c r="L53" s="702"/>
      <c r="M53" s="702"/>
      <c r="N53" s="702">
        <v>23888</v>
      </c>
      <c r="O53" s="702">
        <v>-14332</v>
      </c>
      <c r="P53" s="702">
        <v>-32489</v>
      </c>
      <c r="Q53" s="702">
        <v>-23296</v>
      </c>
      <c r="R53" s="702"/>
      <c r="S53" s="702">
        <v>-11000</v>
      </c>
      <c r="T53" s="702">
        <v>11000</v>
      </c>
      <c r="U53" s="702">
        <v>7000</v>
      </c>
      <c r="V53" s="702"/>
      <c r="W53" s="702">
        <v>-21000</v>
      </c>
      <c r="X53" s="702">
        <v>23000</v>
      </c>
      <c r="Y53" s="702"/>
      <c r="Z53" s="702"/>
      <c r="AA53" s="702"/>
      <c r="AB53" s="702"/>
      <c r="AC53" s="616"/>
      <c r="AD53" s="616"/>
      <c r="AE53" s="616"/>
      <c r="AF53" s="616"/>
      <c r="AG53" s="616"/>
      <c r="AH53" s="9"/>
      <c r="AI53" s="9"/>
      <c r="AJ53" s="9"/>
      <c r="AK53" s="9"/>
      <c r="AL53" s="9"/>
      <c r="AM53" s="9"/>
      <c r="AN53" s="9"/>
    </row>
    <row r="54" spans="1:40">
      <c r="A54" s="34"/>
      <c r="B54" s="613" t="s">
        <v>87</v>
      </c>
      <c r="C54" s="34"/>
      <c r="D54" s="616"/>
      <c r="E54" s="616"/>
      <c r="F54" s="616" t="e">
        <v>#REF!</v>
      </c>
      <c r="G54" s="616" t="e">
        <v>#REF!</v>
      </c>
      <c r="H54" s="616" t="e">
        <v>#REF!</v>
      </c>
      <c r="I54" s="616" t="e">
        <v>#REF!</v>
      </c>
      <c r="J54" s="616" t="e">
        <v>#REF!</v>
      </c>
      <c r="K54" s="616" t="e">
        <v>#REF!</v>
      </c>
      <c r="L54" s="616" t="e">
        <v>#REF!</v>
      </c>
      <c r="M54" s="616" t="e">
        <v>#REF!</v>
      </c>
      <c r="N54" s="616">
        <v>-32435</v>
      </c>
      <c r="O54" s="616">
        <v>-71230</v>
      </c>
      <c r="P54" s="616">
        <v>-105515</v>
      </c>
      <c r="Q54" s="616">
        <v>-110112</v>
      </c>
      <c r="R54" s="616">
        <v>0</v>
      </c>
      <c r="S54" s="616">
        <v>-83000</v>
      </c>
      <c r="T54" s="616">
        <v>-55000</v>
      </c>
      <c r="U54" s="616">
        <v>-70000</v>
      </c>
      <c r="V54" s="616">
        <v>-98000</v>
      </c>
      <c r="W54" s="616">
        <v>-122000</v>
      </c>
      <c r="X54" s="616">
        <v>-70000</v>
      </c>
      <c r="Y54" s="616">
        <v>-84000</v>
      </c>
      <c r="Z54" s="616">
        <v>-70000</v>
      </c>
      <c r="AA54" s="616">
        <v>-55000</v>
      </c>
      <c r="AB54" s="616">
        <v>-50000</v>
      </c>
      <c r="AC54" s="616"/>
      <c r="AD54" s="616"/>
      <c r="AE54" s="616"/>
      <c r="AF54" s="616"/>
      <c r="AG54" s="616"/>
      <c r="AH54" s="9"/>
      <c r="AI54" s="9"/>
      <c r="AJ54" s="9"/>
      <c r="AK54" s="9"/>
      <c r="AL54" s="9"/>
      <c r="AM54" s="9"/>
      <c r="AN54" s="9"/>
    </row>
    <row r="55" spans="1:40">
      <c r="A55" s="34"/>
      <c r="B55" s="613"/>
      <c r="C55" s="34"/>
      <c r="D55" s="616"/>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616"/>
      <c r="AC55" s="616"/>
      <c r="AD55" s="616"/>
      <c r="AE55" s="616"/>
      <c r="AF55" s="616"/>
      <c r="AG55" s="616"/>
      <c r="AH55" s="9"/>
      <c r="AI55" s="9"/>
      <c r="AJ55" s="9"/>
      <c r="AK55" s="9"/>
      <c r="AL55" s="9"/>
      <c r="AM55" s="9"/>
      <c r="AN55" s="9"/>
    </row>
    <row r="56" spans="1:40">
      <c r="A56" s="721" t="s">
        <v>88</v>
      </c>
      <c r="B56" s="723"/>
      <c r="C56" s="724"/>
      <c r="D56" s="702"/>
      <c r="E56" s="616"/>
      <c r="F56" s="702" t="e">
        <v>#REF!</v>
      </c>
      <c r="G56" s="702" t="e">
        <v>#REF!</v>
      </c>
      <c r="H56" s="702" t="e">
        <v>#REF!</v>
      </c>
      <c r="I56" s="702" t="e">
        <v>#REF!</v>
      </c>
      <c r="J56" s="702" t="e">
        <v>#REF!</v>
      </c>
      <c r="K56" s="702" t="e">
        <v>#REF!</v>
      </c>
      <c r="L56" s="702" t="e">
        <v>#REF!</v>
      </c>
      <c r="M56" s="702" t="e">
        <v>#REF!</v>
      </c>
      <c r="N56" s="702">
        <v>917280</v>
      </c>
      <c r="O56" s="702">
        <v>823771</v>
      </c>
      <c r="P56" s="702">
        <v>712124</v>
      </c>
      <c r="Q56" s="702">
        <v>994660</v>
      </c>
      <c r="R56" s="702">
        <v>0</v>
      </c>
      <c r="S56" s="702">
        <v>256000</v>
      </c>
      <c r="T56" s="702">
        <v>263000</v>
      </c>
      <c r="U56" s="702">
        <v>328000</v>
      </c>
      <c r="V56" s="702">
        <v>162000</v>
      </c>
      <c r="W56" s="702">
        <v>-106000</v>
      </c>
      <c r="X56" s="702">
        <v>180000</v>
      </c>
      <c r="Y56" s="702">
        <v>153000</v>
      </c>
      <c r="Z56" s="702">
        <v>239000</v>
      </c>
      <c r="AA56" s="702">
        <v>171000</v>
      </c>
      <c r="AB56" s="702">
        <v>261000</v>
      </c>
      <c r="AC56" s="616"/>
      <c r="AD56" s="616"/>
      <c r="AE56" s="616"/>
      <c r="AF56" s="616"/>
      <c r="AG56" s="616"/>
      <c r="AH56" s="9"/>
      <c r="AI56" s="9"/>
      <c r="AJ56" s="9"/>
      <c r="AK56" s="9"/>
      <c r="AL56" s="9"/>
      <c r="AM56" s="9"/>
      <c r="AN56" s="9"/>
    </row>
    <row r="57" spans="1:40">
      <c r="A57" s="707"/>
      <c r="B57" s="34"/>
      <c r="C57" s="707"/>
      <c r="D57" s="616"/>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616"/>
      <c r="AC57" s="616"/>
      <c r="AD57" s="616"/>
      <c r="AE57" s="616"/>
      <c r="AF57" s="616"/>
      <c r="AG57" s="616"/>
      <c r="AH57" s="9"/>
      <c r="AI57" s="9"/>
      <c r="AJ57" s="9"/>
      <c r="AK57" s="9"/>
      <c r="AL57" s="9"/>
      <c r="AM57" s="9"/>
      <c r="AN57" s="9"/>
    </row>
    <row r="58" spans="1:40">
      <c r="A58" s="34"/>
      <c r="B58" s="34" t="s">
        <v>89</v>
      </c>
      <c r="C58" s="34"/>
      <c r="D58" s="616"/>
      <c r="E58" s="616"/>
      <c r="F58" s="616" t="e">
        <v>#REF!</v>
      </c>
      <c r="G58" s="616" t="e">
        <v>#REF!</v>
      </c>
      <c r="H58" s="616" t="e">
        <v>#REF!</v>
      </c>
      <c r="I58" s="616" t="e">
        <v>#REF!</v>
      </c>
      <c r="J58" s="616" t="e">
        <v>#REF!</v>
      </c>
      <c r="K58" s="616" t="e">
        <v>#REF!</v>
      </c>
      <c r="L58" s="616" t="e">
        <v>#REF!</v>
      </c>
      <c r="M58" s="616" t="e">
        <v>#REF!</v>
      </c>
      <c r="N58" s="616">
        <v>-102871</v>
      </c>
      <c r="O58" s="616">
        <v>-60457</v>
      </c>
      <c r="P58" s="616">
        <v>-74538</v>
      </c>
      <c r="Q58" s="616">
        <v>-103913</v>
      </c>
      <c r="R58" s="616"/>
      <c r="S58" s="616">
        <v>-53000</v>
      </c>
      <c r="T58" s="616">
        <v>-33000</v>
      </c>
      <c r="U58" s="616">
        <v>-58000</v>
      </c>
      <c r="V58" s="616">
        <v>-7000</v>
      </c>
      <c r="W58" s="616">
        <v>-19000</v>
      </c>
      <c r="X58" s="616">
        <v>-33000</v>
      </c>
      <c r="Y58" s="616">
        <v>-36000</v>
      </c>
      <c r="Z58" s="616">
        <v>-125000</v>
      </c>
      <c r="AA58" s="616">
        <v>-67000</v>
      </c>
      <c r="AB58" s="616">
        <v>-91000</v>
      </c>
      <c r="AC58" s="616"/>
      <c r="AD58" s="616"/>
      <c r="AE58" s="616"/>
      <c r="AF58" s="616"/>
      <c r="AG58" s="616"/>
      <c r="AH58" s="9"/>
      <c r="AI58" s="9"/>
      <c r="AJ58" s="9"/>
      <c r="AK58" s="9"/>
      <c r="AL58" s="9"/>
      <c r="AM58" s="9"/>
      <c r="AN58" s="9"/>
    </row>
    <row r="59" spans="1:40">
      <c r="A59" s="34"/>
      <c r="B59" s="34" t="s">
        <v>90</v>
      </c>
      <c r="C59" s="34"/>
      <c r="D59" s="616"/>
      <c r="E59" s="616"/>
      <c r="F59" s="702" t="e">
        <v>#REF!</v>
      </c>
      <c r="G59" s="702" t="e">
        <v>#REF!</v>
      </c>
      <c r="H59" s="702" t="e">
        <v>#REF!</v>
      </c>
      <c r="I59" s="702" t="e">
        <v>#REF!</v>
      </c>
      <c r="J59" s="702" t="e">
        <v>#REF!</v>
      </c>
      <c r="K59" s="702" t="e">
        <v>#REF!</v>
      </c>
      <c r="L59" s="702" t="e">
        <v>#REF!</v>
      </c>
      <c r="M59" s="702" t="e">
        <v>#REF!</v>
      </c>
      <c r="N59" s="702">
        <v>5416</v>
      </c>
      <c r="O59" s="702">
        <v>-8648</v>
      </c>
      <c r="P59" s="702">
        <v>35848</v>
      </c>
      <c r="Q59" s="702">
        <v>10726</v>
      </c>
      <c r="R59" s="702"/>
      <c r="S59" s="702">
        <v>-13000</v>
      </c>
      <c r="T59" s="702">
        <v>-31000</v>
      </c>
      <c r="U59" s="702">
        <v>-36000</v>
      </c>
      <c r="V59" s="702">
        <v>-22000</v>
      </c>
      <c r="W59" s="702">
        <v>59000</v>
      </c>
      <c r="X59" s="702">
        <v>-18000</v>
      </c>
      <c r="Y59" s="702">
        <v>-5000</v>
      </c>
      <c r="Z59" s="702">
        <v>56000</v>
      </c>
      <c r="AA59" s="702">
        <v>21000</v>
      </c>
      <c r="AB59" s="702">
        <v>17000</v>
      </c>
      <c r="AC59" s="616"/>
      <c r="AD59" s="616"/>
      <c r="AE59" s="616"/>
      <c r="AF59" s="616"/>
      <c r="AG59" s="616"/>
      <c r="AH59" s="9"/>
      <c r="AI59" s="9"/>
      <c r="AJ59" s="9"/>
      <c r="AK59" s="9"/>
      <c r="AL59" s="9"/>
      <c r="AM59" s="9"/>
      <c r="AN59" s="9"/>
    </row>
    <row r="60" spans="1:40">
      <c r="A60" s="34"/>
      <c r="B60" s="34"/>
      <c r="C60" s="34"/>
      <c r="D60" s="616"/>
      <c r="E60" s="616"/>
      <c r="F60" s="616" t="e">
        <v>#REF!</v>
      </c>
      <c r="G60" s="616" t="e">
        <v>#REF!</v>
      </c>
      <c r="H60" s="616" t="e">
        <v>#REF!</v>
      </c>
      <c r="I60" s="616" t="e">
        <v>#REF!</v>
      </c>
      <c r="J60" s="616" t="e">
        <v>#REF!</v>
      </c>
      <c r="K60" s="616" t="e">
        <v>#REF!</v>
      </c>
      <c r="L60" s="616" t="e">
        <v>#REF!</v>
      </c>
      <c r="M60" s="616" t="e">
        <v>#REF!</v>
      </c>
      <c r="N60" s="616">
        <v>-97455</v>
      </c>
      <c r="O60" s="616">
        <v>-69105</v>
      </c>
      <c r="P60" s="616">
        <v>-38690</v>
      </c>
      <c r="Q60" s="616">
        <v>-93187</v>
      </c>
      <c r="R60" s="616">
        <v>0</v>
      </c>
      <c r="S60" s="616">
        <v>-66000</v>
      </c>
      <c r="T60" s="616">
        <v>-64000</v>
      </c>
      <c r="U60" s="616">
        <v>-94000</v>
      </c>
      <c r="V60" s="616">
        <v>-29000</v>
      </c>
      <c r="W60" s="616">
        <v>40000</v>
      </c>
      <c r="X60" s="616">
        <v>-51000</v>
      </c>
      <c r="Y60" s="616">
        <v>-41000</v>
      </c>
      <c r="Z60" s="616">
        <v>-69000</v>
      </c>
      <c r="AA60" s="616">
        <v>-46000</v>
      </c>
      <c r="AB60" s="616">
        <v>-74000</v>
      </c>
      <c r="AC60" s="616"/>
      <c r="AD60" s="616"/>
      <c r="AE60" s="616"/>
      <c r="AF60" s="616"/>
      <c r="AG60" s="616"/>
      <c r="AH60" s="9"/>
      <c r="AI60" s="9"/>
      <c r="AJ60" s="9"/>
      <c r="AK60" s="9"/>
      <c r="AL60" s="9"/>
      <c r="AM60" s="9"/>
      <c r="AN60" s="9"/>
    </row>
    <row r="61" spans="1:40">
      <c r="A61" s="34"/>
      <c r="B61" s="34"/>
      <c r="C61" s="34"/>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9"/>
      <c r="AI61" s="9"/>
      <c r="AJ61" s="9"/>
      <c r="AK61" s="9"/>
      <c r="AL61" s="9"/>
      <c r="AM61" s="9"/>
      <c r="AN61" s="9"/>
    </row>
    <row r="62" spans="1:40">
      <c r="A62" s="721" t="s">
        <v>1194</v>
      </c>
      <c r="B62" s="721"/>
      <c r="C62" s="43"/>
      <c r="D62" s="702"/>
      <c r="E62" s="616"/>
      <c r="F62" s="702" t="e">
        <v>#REF!</v>
      </c>
      <c r="G62" s="702" t="e">
        <v>#REF!</v>
      </c>
      <c r="H62" s="702" t="e">
        <v>#REF!</v>
      </c>
      <c r="I62" s="702" t="e">
        <v>#REF!</v>
      </c>
      <c r="J62" s="702" t="e">
        <v>#REF!</v>
      </c>
      <c r="K62" s="702" t="e">
        <v>#REF!</v>
      </c>
      <c r="L62" s="702" t="e">
        <v>#REF!</v>
      </c>
      <c r="M62" s="702" t="e">
        <v>#REF!</v>
      </c>
      <c r="N62" s="702">
        <v>819825</v>
      </c>
      <c r="O62" s="702">
        <v>754666</v>
      </c>
      <c r="P62" s="702">
        <v>673434</v>
      </c>
      <c r="Q62" s="702">
        <v>901473</v>
      </c>
      <c r="R62" s="724">
        <v>150294</v>
      </c>
      <c r="S62" s="724">
        <v>190000</v>
      </c>
      <c r="T62" s="724">
        <v>199000</v>
      </c>
      <c r="U62" s="724">
        <v>234000</v>
      </c>
      <c r="V62" s="724">
        <v>133000</v>
      </c>
      <c r="W62" s="724">
        <v>-66000</v>
      </c>
      <c r="X62" s="724">
        <v>129000</v>
      </c>
      <c r="Y62" s="724">
        <v>112000</v>
      </c>
      <c r="Z62" s="724">
        <v>170000</v>
      </c>
      <c r="AA62" s="724">
        <v>125000</v>
      </c>
      <c r="AB62" s="724">
        <v>187000</v>
      </c>
      <c r="AC62" s="616"/>
      <c r="AD62" s="616"/>
      <c r="AE62" s="616"/>
      <c r="AF62" s="616"/>
      <c r="AG62" s="616"/>
      <c r="AH62" s="9"/>
      <c r="AI62" s="9"/>
      <c r="AJ62" s="9"/>
      <c r="AK62" s="9"/>
      <c r="AL62" s="9"/>
      <c r="AM62" s="9"/>
      <c r="AN62" s="9"/>
    </row>
    <row r="63" spans="1:40">
      <c r="A63" s="1107"/>
      <c r="B63" s="1107"/>
      <c r="C63" s="1108"/>
      <c r="D63" s="616"/>
      <c r="E63" s="616"/>
      <c r="F63" s="616"/>
      <c r="G63" s="616"/>
      <c r="H63" s="616"/>
      <c r="I63" s="616"/>
      <c r="J63" s="616"/>
      <c r="K63" s="616"/>
      <c r="L63" s="616"/>
      <c r="M63" s="616"/>
      <c r="N63" s="616"/>
      <c r="O63" s="616"/>
      <c r="P63" s="616"/>
      <c r="Q63" s="616"/>
      <c r="R63" s="616"/>
      <c r="S63" s="616"/>
      <c r="T63" s="616"/>
      <c r="U63" s="616"/>
      <c r="V63" s="616"/>
      <c r="W63" s="616"/>
      <c r="X63" s="616"/>
      <c r="Y63" s="616"/>
      <c r="Z63" s="616"/>
      <c r="AA63" s="616"/>
      <c r="AB63" s="616"/>
      <c r="AC63" s="616"/>
      <c r="AD63" s="616"/>
      <c r="AE63" s="616"/>
      <c r="AF63" s="616"/>
      <c r="AG63" s="616"/>
      <c r="AH63" s="9"/>
      <c r="AI63" s="9"/>
      <c r="AJ63" s="9"/>
      <c r="AK63" s="9"/>
      <c r="AL63" s="9"/>
      <c r="AM63" s="9"/>
      <c r="AN63" s="9"/>
    </row>
    <row r="64" spans="1:40">
      <c r="A64" s="613" t="s">
        <v>1170</v>
      </c>
      <c r="C64" s="34"/>
      <c r="D64" s="616"/>
      <c r="E64" s="616"/>
      <c r="F64" s="616"/>
      <c r="G64" s="616"/>
      <c r="H64" s="616"/>
      <c r="I64" s="616"/>
      <c r="J64" s="616"/>
      <c r="K64" s="616"/>
      <c r="L64" s="703">
        <v>-21007</v>
      </c>
      <c r="M64" s="703">
        <v>613726</v>
      </c>
      <c r="N64" s="616"/>
      <c r="O64" s="616"/>
      <c r="P64" s="616"/>
      <c r="Q64" s="616"/>
      <c r="R64" s="616"/>
      <c r="S64" s="616"/>
      <c r="T64" s="616"/>
      <c r="U64" s="616"/>
      <c r="V64" s="616"/>
      <c r="W64" s="616"/>
      <c r="X64" s="616"/>
      <c r="Y64" s="616"/>
      <c r="Z64" s="616"/>
      <c r="AA64" s="616"/>
      <c r="AB64" s="616"/>
      <c r="AC64" s="616"/>
      <c r="AD64" s="616"/>
      <c r="AE64" s="616"/>
      <c r="AF64" s="616"/>
      <c r="AG64" s="616"/>
      <c r="AH64" s="9"/>
      <c r="AI64" s="9"/>
      <c r="AJ64" s="9"/>
      <c r="AK64" s="9"/>
      <c r="AL64" s="9"/>
      <c r="AM64" s="9"/>
      <c r="AN64" s="9"/>
    </row>
    <row r="65" spans="1:40">
      <c r="A65" s="613"/>
      <c r="B65" s="34" t="s">
        <v>1171</v>
      </c>
      <c r="C65" s="34"/>
      <c r="D65" s="616"/>
      <c r="E65" s="616"/>
      <c r="F65" s="616"/>
      <c r="G65" s="616"/>
      <c r="H65" s="616"/>
      <c r="I65" s="616"/>
      <c r="J65" s="616"/>
      <c r="K65" s="616"/>
      <c r="L65" s="703"/>
      <c r="M65" s="703"/>
      <c r="N65" s="616"/>
      <c r="O65" s="616"/>
      <c r="P65" s="616"/>
      <c r="Q65" s="616"/>
      <c r="R65" s="616"/>
      <c r="S65" s="616"/>
      <c r="T65" s="616"/>
      <c r="U65" s="616"/>
      <c r="V65" s="616"/>
      <c r="W65" s="616"/>
      <c r="X65" s="616"/>
      <c r="Y65" s="616"/>
      <c r="Z65" s="616">
        <v>165000</v>
      </c>
      <c r="AA65" s="616"/>
      <c r="AB65" s="616"/>
      <c r="AC65" s="616"/>
      <c r="AD65" s="616"/>
      <c r="AE65" s="616"/>
      <c r="AF65" s="616"/>
      <c r="AG65" s="616"/>
      <c r="AH65" s="9"/>
      <c r="AI65" s="9"/>
      <c r="AJ65" s="9"/>
      <c r="AK65" s="9"/>
      <c r="AL65" s="9"/>
      <c r="AM65" s="9"/>
      <c r="AN65" s="9"/>
    </row>
    <row r="66" spans="1:40">
      <c r="A66" s="613"/>
      <c r="B66" s="34" t="s">
        <v>1172</v>
      </c>
      <c r="C66" s="34"/>
      <c r="D66" s="616"/>
      <c r="E66" s="616"/>
      <c r="F66" s="616"/>
      <c r="G66" s="616"/>
      <c r="H66" s="616"/>
      <c r="I66" s="616"/>
      <c r="J66" s="616"/>
      <c r="K66" s="616"/>
      <c r="L66" s="703"/>
      <c r="M66" s="703"/>
      <c r="N66" s="616"/>
      <c r="O66" s="616"/>
      <c r="P66" s="616"/>
      <c r="Q66" s="616"/>
      <c r="R66" s="616"/>
      <c r="S66" s="702"/>
      <c r="T66" s="702"/>
      <c r="U66" s="702"/>
      <c r="V66" s="702"/>
      <c r="W66" s="702"/>
      <c r="X66" s="702"/>
      <c r="Y66" s="702">
        <v>20000</v>
      </c>
      <c r="Z66" s="702">
        <v>10000</v>
      </c>
      <c r="AA66" s="702"/>
      <c r="AB66" s="702"/>
      <c r="AC66" s="616"/>
      <c r="AD66" s="616"/>
      <c r="AE66" s="616"/>
      <c r="AF66" s="616"/>
      <c r="AG66" s="616"/>
      <c r="AH66" s="9"/>
      <c r="AI66" s="9"/>
      <c r="AJ66" s="9"/>
      <c r="AK66" s="9"/>
      <c r="AL66" s="9"/>
      <c r="AM66" s="9"/>
      <c r="AN66" s="9"/>
    </row>
    <row r="67" spans="1:40" ht="13.5" thickBot="1">
      <c r="A67" s="721" t="s">
        <v>91</v>
      </c>
      <c r="B67" s="721"/>
      <c r="C67" s="43"/>
      <c r="D67" s="702"/>
      <c r="E67" s="616"/>
      <c r="F67" s="616"/>
      <c r="G67" s="616"/>
      <c r="H67" s="616"/>
      <c r="I67" s="616"/>
      <c r="J67" s="616"/>
      <c r="K67" s="616"/>
      <c r="L67" s="707" t="e">
        <v>#REF!</v>
      </c>
      <c r="M67" s="707" t="e">
        <v>#REF!</v>
      </c>
      <c r="N67" s="707">
        <v>819825</v>
      </c>
      <c r="O67" s="707">
        <v>754666</v>
      </c>
      <c r="P67" s="707">
        <v>673434</v>
      </c>
      <c r="Q67" s="707">
        <v>901473</v>
      </c>
      <c r="R67" s="1139">
        <v>150294</v>
      </c>
      <c r="S67" s="1139">
        <v>190000</v>
      </c>
      <c r="T67" s="1139">
        <v>199000</v>
      </c>
      <c r="U67" s="1139">
        <v>234000</v>
      </c>
      <c r="V67" s="1139">
        <v>133000</v>
      </c>
      <c r="W67" s="1139">
        <v>-66000</v>
      </c>
      <c r="X67" s="1139">
        <v>129000</v>
      </c>
      <c r="Y67" s="1139">
        <v>132000</v>
      </c>
      <c r="Z67" s="1139">
        <v>345000</v>
      </c>
      <c r="AA67" s="1139">
        <v>125000</v>
      </c>
      <c r="AB67" s="1139">
        <v>187000</v>
      </c>
      <c r="AC67" s="616"/>
      <c r="AD67" s="616"/>
      <c r="AE67" s="616"/>
      <c r="AF67" s="616"/>
      <c r="AG67" s="616"/>
      <c r="AH67" s="9"/>
      <c r="AI67" s="9"/>
      <c r="AJ67" s="9"/>
      <c r="AK67" s="9"/>
      <c r="AL67" s="9"/>
      <c r="AM67" s="9"/>
      <c r="AN67" s="9"/>
    </row>
    <row r="68" spans="1:40" ht="13.5" thickTop="1">
      <c r="A68" s="1107"/>
      <c r="B68" s="1107"/>
      <c r="C68" s="1108"/>
      <c r="D68" s="616"/>
      <c r="E68" s="616"/>
      <c r="F68" s="616"/>
      <c r="G68" s="616"/>
      <c r="H68" s="616"/>
      <c r="I68" s="616"/>
      <c r="J68" s="616"/>
      <c r="K68" s="616"/>
      <c r="L68" s="707"/>
      <c r="M68" s="707"/>
      <c r="N68" s="707"/>
      <c r="O68" s="707"/>
      <c r="P68" s="707"/>
      <c r="Q68" s="707"/>
      <c r="R68" s="994"/>
      <c r="S68" s="707"/>
      <c r="T68" s="707"/>
      <c r="U68" s="707"/>
      <c r="V68" s="707"/>
      <c r="W68" s="707"/>
      <c r="X68" s="707"/>
      <c r="Y68" s="707"/>
      <c r="Z68" s="707"/>
      <c r="AA68" s="707"/>
      <c r="AB68" s="707"/>
      <c r="AC68" s="616"/>
      <c r="AD68" s="616"/>
      <c r="AE68" s="616"/>
      <c r="AF68" s="616"/>
      <c r="AG68" s="616"/>
      <c r="AH68" s="9"/>
      <c r="AI68" s="9"/>
      <c r="AJ68" s="9"/>
      <c r="AK68" s="9"/>
      <c r="AL68" s="9"/>
      <c r="AM68" s="9"/>
      <c r="AN68" s="9"/>
    </row>
    <row r="69" spans="1:40" ht="18">
      <c r="E69" s="1138"/>
      <c r="F69" s="1041"/>
      <c r="G69" s="765"/>
      <c r="H69" s="765"/>
      <c r="I69" s="25"/>
      <c r="J69" s="25"/>
      <c r="K69" s="25"/>
      <c r="L69" s="994"/>
      <c r="M69" s="994"/>
      <c r="N69" s="994"/>
      <c r="O69" s="994"/>
      <c r="P69" s="994"/>
      <c r="Q69" s="994"/>
      <c r="R69" s="707"/>
      <c r="S69" s="707"/>
      <c r="T69" s="707"/>
      <c r="U69" s="707"/>
      <c r="V69" s="1137"/>
      <c r="W69" s="1555" t="s">
        <v>10</v>
      </c>
      <c r="X69" s="1556"/>
      <c r="Y69" s="1556"/>
      <c r="Z69" s="1556"/>
      <c r="AA69" s="1557"/>
      <c r="AB69" s="1083">
        <v>2.2000000000000002</v>
      </c>
      <c r="AC69" s="616"/>
      <c r="AD69" s="126"/>
      <c r="AE69" s="616"/>
      <c r="AF69" s="616"/>
      <c r="AG69" s="616"/>
      <c r="AH69" s="9"/>
      <c r="AI69" s="9"/>
      <c r="AJ69" s="9"/>
      <c r="AK69" s="9"/>
      <c r="AL69" s="9"/>
      <c r="AM69" s="9"/>
      <c r="AN69" s="9"/>
    </row>
    <row r="70" spans="1:40">
      <c r="A70" s="992" t="s">
        <v>10</v>
      </c>
      <c r="B70" s="993"/>
      <c r="C70" s="993"/>
      <c r="D70" s="993"/>
      <c r="F70" s="34">
        <v>0</v>
      </c>
      <c r="G70" s="34">
        <v>1</v>
      </c>
      <c r="H70" s="34">
        <v>2</v>
      </c>
      <c r="I70" s="34">
        <v>3</v>
      </c>
      <c r="J70" s="34">
        <v>4</v>
      </c>
      <c r="K70" s="34">
        <v>5</v>
      </c>
      <c r="L70" s="34">
        <v>6</v>
      </c>
      <c r="M70" s="34">
        <v>7</v>
      </c>
      <c r="N70" s="1276">
        <v>8</v>
      </c>
      <c r="O70" s="34">
        <v>9</v>
      </c>
      <c r="P70" s="34">
        <v>10</v>
      </c>
      <c r="Q70" s="34">
        <v>11</v>
      </c>
      <c r="R70" s="34">
        <v>0</v>
      </c>
      <c r="S70" s="34">
        <v>1</v>
      </c>
      <c r="T70" s="34">
        <v>2</v>
      </c>
      <c r="U70" s="34">
        <v>3</v>
      </c>
      <c r="V70" s="34">
        <v>4</v>
      </c>
      <c r="W70" s="34">
        <v>5</v>
      </c>
      <c r="X70" s="34">
        <v>6</v>
      </c>
      <c r="Y70" s="34">
        <v>7</v>
      </c>
      <c r="Z70" s="34">
        <v>8</v>
      </c>
      <c r="AA70" s="34">
        <v>9</v>
      </c>
      <c r="AB70" s="34">
        <v>10</v>
      </c>
      <c r="AC70" s="616"/>
      <c r="AD70" s="616"/>
      <c r="AE70" s="616"/>
      <c r="AF70" s="616"/>
      <c r="AG70" s="616"/>
      <c r="AH70" s="9"/>
      <c r="AI70" s="9"/>
      <c r="AJ70" s="9"/>
      <c r="AK70" s="9"/>
      <c r="AL70" s="9"/>
      <c r="AM70" s="9"/>
      <c r="AN70" s="9"/>
    </row>
    <row r="71" spans="1:40">
      <c r="A71" s="1028"/>
      <c r="B71" s="34"/>
      <c r="C71" s="34"/>
      <c r="E71" s="1276" t="s">
        <v>44</v>
      </c>
      <c r="F71" s="980">
        <v>1999</v>
      </c>
      <c r="G71" s="980">
        <v>2000</v>
      </c>
      <c r="H71" s="980">
        <v>2001</v>
      </c>
      <c r="I71" s="980">
        <v>2002</v>
      </c>
      <c r="J71" s="980">
        <v>2003</v>
      </c>
      <c r="K71" s="980">
        <v>2004</v>
      </c>
      <c r="L71" s="980">
        <v>2005</v>
      </c>
      <c r="M71" s="980">
        <v>2006</v>
      </c>
      <c r="N71" s="980">
        <v>2007</v>
      </c>
      <c r="O71" s="980">
        <v>2008</v>
      </c>
      <c r="P71" s="980">
        <v>2009</v>
      </c>
      <c r="Q71" s="980">
        <v>2010</v>
      </c>
      <c r="R71" s="980">
        <v>2011</v>
      </c>
      <c r="S71" s="980">
        <v>2012</v>
      </c>
      <c r="T71" s="980">
        <v>2013</v>
      </c>
      <c r="U71" s="980">
        <v>2014</v>
      </c>
      <c r="V71" s="980">
        <v>2015</v>
      </c>
      <c r="W71" s="980">
        <v>2016</v>
      </c>
      <c r="X71" s="980">
        <v>2017</v>
      </c>
      <c r="Y71" s="980">
        <v>2018</v>
      </c>
      <c r="Z71" s="980">
        <v>2019</v>
      </c>
      <c r="AA71" s="980">
        <v>2020</v>
      </c>
      <c r="AB71" s="980">
        <v>2021</v>
      </c>
      <c r="AC71" s="616"/>
      <c r="AD71" s="616"/>
      <c r="AE71" s="616"/>
      <c r="AF71" s="616"/>
      <c r="AG71" s="616"/>
      <c r="AH71" s="9"/>
      <c r="AI71" s="9"/>
      <c r="AJ71" s="9"/>
      <c r="AK71" s="9"/>
      <c r="AL71" s="9"/>
      <c r="AM71" s="9"/>
      <c r="AN71" s="9"/>
    </row>
    <row r="72" spans="1:40">
      <c r="A72" s="34"/>
      <c r="B72" s="613" t="s">
        <v>97</v>
      </c>
      <c r="C72" s="727"/>
      <c r="D72" s="458"/>
      <c r="E72" s="458"/>
      <c r="F72" s="616" t="e">
        <v>#REF!</v>
      </c>
      <c r="G72" s="616" t="e">
        <v>#REF!</v>
      </c>
      <c r="H72" s="616" t="e">
        <v>#REF!</v>
      </c>
      <c r="I72" s="616" t="e">
        <v>#REF!</v>
      </c>
      <c r="J72" s="616" t="e">
        <v>#REF!</v>
      </c>
      <c r="K72" s="616" t="e">
        <v>#REF!</v>
      </c>
      <c r="L72" s="616" t="e">
        <v>#REF!</v>
      </c>
      <c r="M72" s="616" t="e">
        <v>#REF!</v>
      </c>
      <c r="N72" s="616">
        <v>819825</v>
      </c>
      <c r="O72" s="616">
        <v>754666</v>
      </c>
      <c r="P72" s="616">
        <v>673434</v>
      </c>
      <c r="Q72" s="616">
        <v>901473</v>
      </c>
      <c r="R72" s="616">
        <v>150294</v>
      </c>
      <c r="S72" s="616">
        <v>190000</v>
      </c>
      <c r="T72" s="616">
        <v>199000</v>
      </c>
      <c r="U72" s="616">
        <v>234000</v>
      </c>
      <c r="V72" s="616">
        <v>133000</v>
      </c>
      <c r="W72" s="616">
        <v>-66000</v>
      </c>
      <c r="X72" s="616">
        <v>129000</v>
      </c>
      <c r="Y72" s="616">
        <v>112000</v>
      </c>
      <c r="Z72" s="616">
        <v>345000</v>
      </c>
      <c r="AA72" s="616">
        <v>125000</v>
      </c>
      <c r="AB72" s="616">
        <v>187000</v>
      </c>
      <c r="AC72" s="616"/>
      <c r="AD72" s="616"/>
      <c r="AE72" s="616"/>
      <c r="AF72" s="616"/>
      <c r="AG72" s="616"/>
      <c r="AH72" s="9"/>
      <c r="AI72" s="9"/>
      <c r="AJ72" s="9"/>
      <c r="AK72" s="9"/>
      <c r="AL72" s="9"/>
      <c r="AM72" s="9"/>
      <c r="AN72" s="9"/>
    </row>
    <row r="73" spans="1:40">
      <c r="A73" s="34"/>
      <c r="B73" s="613"/>
      <c r="C73" s="727"/>
      <c r="D73" s="458"/>
      <c r="E73" s="458"/>
      <c r="F73" s="616"/>
      <c r="G73" s="616"/>
      <c r="H73" s="616"/>
      <c r="I73" s="616"/>
      <c r="J73" s="616"/>
      <c r="K73" s="616"/>
      <c r="L73" s="616"/>
      <c r="M73" s="616"/>
      <c r="N73" s="616"/>
      <c r="O73" s="616"/>
      <c r="P73" s="616"/>
      <c r="Q73" s="616"/>
      <c r="R73" s="616"/>
      <c r="S73" s="616"/>
      <c r="T73" s="616"/>
      <c r="U73" s="616"/>
      <c r="V73" s="616"/>
      <c r="W73" s="616"/>
      <c r="X73" s="616"/>
      <c r="Y73" s="616"/>
      <c r="Z73" s="616"/>
      <c r="AA73" s="616"/>
      <c r="AB73" s="616"/>
      <c r="AC73" s="616"/>
      <c r="AD73" s="616"/>
      <c r="AE73" s="616"/>
      <c r="AF73" s="616"/>
      <c r="AG73" s="616"/>
      <c r="AH73" s="9"/>
      <c r="AI73" s="9"/>
      <c r="AJ73" s="9"/>
      <c r="AK73" s="9"/>
      <c r="AL73" s="9"/>
      <c r="AM73" s="9"/>
      <c r="AN73" s="9"/>
    </row>
    <row r="74" spans="1:40">
      <c r="A74" s="34"/>
      <c r="B74" s="34" t="s">
        <v>1175</v>
      </c>
      <c r="C74" s="34"/>
      <c r="D74" s="34"/>
      <c r="E74" s="34"/>
      <c r="F74" s="125"/>
      <c r="G74" s="125">
        <v>77813</v>
      </c>
      <c r="H74" s="125">
        <v>0</v>
      </c>
      <c r="I74" s="125">
        <v>0</v>
      </c>
      <c r="J74" s="125">
        <v>600000</v>
      </c>
      <c r="K74" s="125">
        <v>0</v>
      </c>
      <c r="L74" s="125">
        <v>0</v>
      </c>
      <c r="M74" s="125">
        <v>1800000</v>
      </c>
      <c r="N74" s="125">
        <v>1455000</v>
      </c>
      <c r="O74" s="125">
        <v>0</v>
      </c>
      <c r="P74" s="707">
        <v>0</v>
      </c>
      <c r="Q74" s="707">
        <v>1213663</v>
      </c>
      <c r="R74" s="707"/>
      <c r="S74" s="707"/>
      <c r="T74" s="707"/>
      <c r="U74" s="707"/>
      <c r="V74" s="707"/>
      <c r="W74" s="707"/>
      <c r="X74" s="707"/>
      <c r="Y74" s="707"/>
      <c r="Z74" s="616">
        <v>165000</v>
      </c>
      <c r="AA74" s="707"/>
      <c r="AB74" s="707"/>
      <c r="AC74" s="616"/>
      <c r="AD74" s="616"/>
      <c r="AE74" s="616"/>
      <c r="AF74" s="616"/>
      <c r="AG74" s="616"/>
      <c r="AH74" s="9"/>
      <c r="AI74" s="9"/>
      <c r="AJ74" s="9"/>
      <c r="AK74" s="9"/>
      <c r="AL74" s="9"/>
      <c r="AM74" s="9"/>
      <c r="AN74" s="9"/>
    </row>
    <row r="75" spans="1:40">
      <c r="A75" s="34"/>
      <c r="B75" s="34" t="s">
        <v>1172</v>
      </c>
      <c r="C75" s="34"/>
      <c r="D75" s="34"/>
      <c r="E75" s="34"/>
      <c r="F75" s="985"/>
      <c r="G75" s="985"/>
      <c r="H75" s="985"/>
      <c r="I75" s="985"/>
      <c r="J75" s="985">
        <v>0</v>
      </c>
      <c r="K75" s="985">
        <v>0</v>
      </c>
      <c r="L75" s="985">
        <v>0</v>
      </c>
      <c r="M75" s="985">
        <v>0</v>
      </c>
      <c r="N75" s="985">
        <v>0</v>
      </c>
      <c r="O75" s="985">
        <v>0</v>
      </c>
      <c r="P75" s="702">
        <v>0</v>
      </c>
      <c r="Q75" s="702">
        <v>0</v>
      </c>
      <c r="R75" s="702"/>
      <c r="S75" s="702"/>
      <c r="T75" s="702"/>
      <c r="U75" s="702"/>
      <c r="V75" s="702"/>
      <c r="W75" s="702"/>
      <c r="X75" s="702">
        <v>22000</v>
      </c>
      <c r="Y75" s="702">
        <v>20000</v>
      </c>
      <c r="Z75" s="702">
        <v>10000</v>
      </c>
      <c r="AA75" s="702"/>
      <c r="AB75" s="702"/>
      <c r="AC75" s="616"/>
      <c r="AD75" s="616"/>
      <c r="AE75" s="616"/>
      <c r="AF75" s="616"/>
      <c r="AG75" s="616"/>
      <c r="AH75" s="9"/>
      <c r="AI75" s="9"/>
      <c r="AJ75" s="9"/>
      <c r="AK75" s="9"/>
      <c r="AL75" s="9"/>
      <c r="AM75" s="9"/>
      <c r="AN75" s="9"/>
    </row>
    <row r="76" spans="1:40">
      <c r="A76" s="34"/>
      <c r="B76" s="34" t="s">
        <v>1176</v>
      </c>
      <c r="C76" s="34"/>
      <c r="D76" s="34"/>
      <c r="E76" s="34"/>
      <c r="F76" s="45">
        <v>0</v>
      </c>
      <c r="G76" s="45">
        <v>77813</v>
      </c>
      <c r="H76" s="45">
        <v>0</v>
      </c>
      <c r="I76" s="45">
        <v>0</v>
      </c>
      <c r="J76" s="45">
        <v>600000</v>
      </c>
      <c r="K76" s="45">
        <v>0</v>
      </c>
      <c r="L76" s="45">
        <v>0</v>
      </c>
      <c r="M76" s="45">
        <v>1800000</v>
      </c>
      <c r="N76" s="45">
        <v>1455000</v>
      </c>
      <c r="O76" s="45">
        <v>0</v>
      </c>
      <c r="P76" s="45">
        <v>0</v>
      </c>
      <c r="Q76" s="45">
        <v>1213663</v>
      </c>
      <c r="R76" s="45">
        <v>0</v>
      </c>
      <c r="S76" s="45">
        <v>0</v>
      </c>
      <c r="T76" s="45">
        <v>0</v>
      </c>
      <c r="U76" s="45">
        <v>0</v>
      </c>
      <c r="V76" s="45">
        <v>0</v>
      </c>
      <c r="W76" s="1116">
        <v>0</v>
      </c>
      <c r="X76" s="1116">
        <v>22000</v>
      </c>
      <c r="Y76" s="1116">
        <v>20000</v>
      </c>
      <c r="Z76" s="1116">
        <v>175000</v>
      </c>
      <c r="AA76" s="45">
        <v>0</v>
      </c>
      <c r="AB76" s="45">
        <v>0</v>
      </c>
      <c r="AC76" s="616"/>
      <c r="AD76" s="616"/>
      <c r="AE76" s="616"/>
      <c r="AF76" s="616"/>
      <c r="AG76" s="616"/>
      <c r="AH76" s="9"/>
      <c r="AI76" s="9"/>
      <c r="AJ76" s="9"/>
      <c r="AK76" s="9"/>
      <c r="AL76" s="9"/>
      <c r="AM76" s="9"/>
      <c r="AN76" s="9"/>
    </row>
    <row r="77" spans="1:40">
      <c r="A77" s="34"/>
      <c r="B77" s="34"/>
      <c r="C77" s="34"/>
      <c r="D77" s="34"/>
      <c r="E77" s="34"/>
      <c r="F77" s="45"/>
      <c r="G77" s="45"/>
      <c r="H77" s="45"/>
      <c r="I77" s="45"/>
      <c r="J77" s="45"/>
      <c r="K77" s="45"/>
      <c r="L77" s="45"/>
      <c r="M77" s="45"/>
      <c r="N77" s="45"/>
      <c r="O77" s="45"/>
      <c r="P77" s="45"/>
      <c r="Q77" s="45"/>
      <c r="R77" s="45"/>
      <c r="S77" s="45"/>
      <c r="T77" s="45"/>
      <c r="U77" s="45"/>
      <c r="V77" s="45"/>
      <c r="W77" s="45"/>
      <c r="X77" s="45"/>
      <c r="Y77" s="45"/>
      <c r="Z77" s="45"/>
      <c r="AA77" s="45"/>
      <c r="AB77" s="45"/>
      <c r="AC77" s="616"/>
      <c r="AD77" s="616"/>
      <c r="AE77" s="616"/>
      <c r="AF77" s="616"/>
      <c r="AG77" s="616"/>
      <c r="AH77" s="9"/>
      <c r="AI77" s="9"/>
      <c r="AJ77" s="9"/>
      <c r="AK77" s="9"/>
      <c r="AL77" s="9"/>
      <c r="AM77" s="9"/>
      <c r="AN77" s="9"/>
    </row>
    <row r="78" spans="1:40">
      <c r="A78" s="34"/>
      <c r="B78" s="1111" t="s">
        <v>1161</v>
      </c>
      <c r="C78" s="1111"/>
      <c r="D78" s="1111"/>
      <c r="E78" s="34"/>
      <c r="F78" s="45"/>
      <c r="G78" s="45"/>
      <c r="H78" s="45"/>
      <c r="I78" s="45"/>
      <c r="J78" s="45"/>
      <c r="K78" s="45"/>
      <c r="L78" s="45"/>
      <c r="M78" s="45"/>
      <c r="N78" s="45">
        <v>-12575</v>
      </c>
      <c r="O78" s="45">
        <v>-38070</v>
      </c>
      <c r="P78" s="616">
        <v>26896</v>
      </c>
      <c r="Q78" s="616">
        <v>-24279</v>
      </c>
      <c r="R78" s="616">
        <v>-4787</v>
      </c>
      <c r="S78" s="616">
        <v>28121</v>
      </c>
      <c r="T78" s="616">
        <v>12000</v>
      </c>
      <c r="U78" s="616">
        <v>-9000</v>
      </c>
      <c r="V78" s="616">
        <v>10000</v>
      </c>
      <c r="W78" s="616">
        <v>2000</v>
      </c>
      <c r="X78" s="616">
        <v>-15000</v>
      </c>
      <c r="Y78" s="616">
        <v>11000</v>
      </c>
      <c r="Z78" s="616">
        <v>-43000</v>
      </c>
      <c r="AA78" s="616">
        <v>-10000</v>
      </c>
      <c r="AB78" s="616">
        <v>-2000</v>
      </c>
      <c r="AC78" s="616"/>
      <c r="AD78" s="616"/>
      <c r="AE78" s="616"/>
      <c r="AF78" s="616"/>
      <c r="AG78" s="616"/>
      <c r="AH78" s="9"/>
      <c r="AI78" s="9"/>
      <c r="AJ78" s="9"/>
      <c r="AK78" s="9"/>
      <c r="AL78" s="9"/>
      <c r="AM78" s="9"/>
      <c r="AN78" s="9"/>
    </row>
    <row r="79" spans="1:40">
      <c r="A79" s="34"/>
      <c r="B79" s="1111" t="s">
        <v>1177</v>
      </c>
      <c r="C79" s="1111"/>
      <c r="D79" s="1111"/>
      <c r="E79" s="34"/>
      <c r="F79" s="45"/>
      <c r="G79" s="45"/>
      <c r="H79" s="45"/>
      <c r="I79" s="45"/>
      <c r="J79" s="45"/>
      <c r="K79" s="45"/>
      <c r="L79" s="45"/>
      <c r="M79" s="45"/>
      <c r="N79" s="45"/>
      <c r="O79" s="45"/>
      <c r="P79" s="616"/>
      <c r="Q79" s="616"/>
      <c r="R79" s="616"/>
      <c r="S79" s="616"/>
      <c r="T79" s="616"/>
      <c r="U79" s="616"/>
      <c r="V79" s="616"/>
      <c r="W79" s="616"/>
      <c r="X79" s="616"/>
      <c r="Y79" s="616">
        <v>3000</v>
      </c>
      <c r="Z79" s="616">
        <v>-3000</v>
      </c>
      <c r="AA79" s="616"/>
      <c r="AB79" s="616"/>
      <c r="AC79" s="616"/>
      <c r="AD79" s="616"/>
      <c r="AE79" s="616"/>
      <c r="AF79" s="616"/>
      <c r="AG79" s="616"/>
      <c r="AH79" s="9"/>
      <c r="AI79" s="9"/>
      <c r="AJ79" s="9"/>
      <c r="AK79" s="9"/>
      <c r="AL79" s="9"/>
      <c r="AM79" s="9"/>
      <c r="AN79" s="9"/>
    </row>
    <row r="80" spans="1:40">
      <c r="A80" s="34"/>
      <c r="B80" s="1111" t="s">
        <v>14</v>
      </c>
      <c r="C80" s="1111"/>
      <c r="D80" s="1111"/>
      <c r="E80" s="34"/>
      <c r="F80" s="45"/>
      <c r="G80" s="45"/>
      <c r="H80" s="45"/>
      <c r="I80" s="45"/>
      <c r="J80" s="45"/>
      <c r="K80" s="45"/>
      <c r="L80" s="45"/>
      <c r="M80" s="45"/>
      <c r="N80" s="45"/>
      <c r="O80" s="45"/>
      <c r="P80" s="616"/>
      <c r="Q80" s="616"/>
      <c r="R80" s="702"/>
      <c r="S80" s="702"/>
      <c r="T80" s="702"/>
      <c r="U80" s="702"/>
      <c r="V80" s="702"/>
      <c r="W80" s="702"/>
      <c r="X80" s="702"/>
      <c r="Y80" s="702"/>
      <c r="Z80" s="702"/>
      <c r="AA80" s="702"/>
      <c r="AB80" s="702"/>
      <c r="AC80" s="616"/>
      <c r="AD80" s="616"/>
      <c r="AE80" s="616"/>
      <c r="AF80" s="616"/>
      <c r="AG80" s="616"/>
      <c r="AH80" s="9"/>
      <c r="AI80" s="9"/>
      <c r="AJ80" s="9"/>
      <c r="AK80" s="9"/>
      <c r="AL80" s="9"/>
      <c r="AM80" s="9"/>
      <c r="AN80" s="9"/>
    </row>
    <row r="81" spans="1:44">
      <c r="A81" s="34"/>
      <c r="B81" s="1120" t="s">
        <v>10</v>
      </c>
      <c r="C81" s="1111"/>
      <c r="D81" s="1111"/>
      <c r="E81" s="34"/>
      <c r="F81" s="616">
        <v>0</v>
      </c>
      <c r="G81" s="616">
        <v>77813</v>
      </c>
      <c r="H81" s="616">
        <v>0</v>
      </c>
      <c r="I81" s="616">
        <v>0</v>
      </c>
      <c r="J81" s="616">
        <v>600000</v>
      </c>
      <c r="K81" s="616">
        <v>0</v>
      </c>
      <c r="L81" s="616">
        <v>0</v>
      </c>
      <c r="M81" s="616">
        <v>1800000</v>
      </c>
      <c r="N81" s="616">
        <v>1442425</v>
      </c>
      <c r="O81" s="616">
        <v>-38070</v>
      </c>
      <c r="P81" s="616">
        <v>26896</v>
      </c>
      <c r="Q81" s="616">
        <v>1189384</v>
      </c>
      <c r="R81" s="616">
        <v>-4787</v>
      </c>
      <c r="S81" s="616">
        <v>28121</v>
      </c>
      <c r="T81" s="616">
        <v>12000</v>
      </c>
      <c r="U81" s="616">
        <v>-9000</v>
      </c>
      <c r="V81" s="616">
        <v>10000</v>
      </c>
      <c r="W81" s="616">
        <v>2000</v>
      </c>
      <c r="X81" s="616">
        <v>7000</v>
      </c>
      <c r="Y81" s="616">
        <v>34000</v>
      </c>
      <c r="Z81" s="616">
        <v>129000</v>
      </c>
      <c r="AA81" s="616">
        <v>-10000</v>
      </c>
      <c r="AB81" s="616">
        <v>-2000</v>
      </c>
      <c r="AC81" s="616"/>
      <c r="AD81" s="616"/>
      <c r="AE81" s="616"/>
      <c r="AF81" s="616"/>
      <c r="AG81" s="616"/>
      <c r="AH81" s="9"/>
      <c r="AI81" s="9"/>
      <c r="AJ81" s="9"/>
      <c r="AK81" s="9"/>
      <c r="AL81" s="9"/>
      <c r="AM81" s="9"/>
      <c r="AN81" s="9"/>
    </row>
    <row r="82" spans="1:44">
      <c r="A82" s="34"/>
      <c r="B82" s="1211"/>
      <c r="C82" s="1211"/>
      <c r="D82" s="1211"/>
      <c r="E82" s="727"/>
      <c r="F82" s="616"/>
      <c r="G82" s="616"/>
      <c r="H82" s="616"/>
      <c r="I82" s="616"/>
      <c r="J82" s="616"/>
      <c r="K82" s="616"/>
      <c r="L82" s="616"/>
      <c r="M82" s="616"/>
      <c r="N82" s="616"/>
      <c r="O82" s="616"/>
      <c r="P82" s="616"/>
      <c r="Q82" s="616"/>
      <c r="R82" s="616"/>
      <c r="S82" s="616"/>
      <c r="T82" s="616"/>
      <c r="U82" s="616"/>
      <c r="V82" s="616"/>
      <c r="W82" s="616"/>
      <c r="X82" s="616"/>
      <c r="Y82" s="616"/>
      <c r="Z82" s="616"/>
      <c r="AA82" s="616"/>
      <c r="AB82" s="616"/>
      <c r="AC82" s="616"/>
      <c r="AD82" s="616"/>
      <c r="AE82" s="616"/>
      <c r="AF82" s="616"/>
      <c r="AG82" s="616"/>
      <c r="AH82" s="9"/>
      <c r="AI82" s="9"/>
      <c r="AJ82" s="9"/>
      <c r="AK82" s="9"/>
      <c r="AL82" s="9"/>
      <c r="AM82" s="9"/>
      <c r="AN82" s="9"/>
    </row>
    <row r="83" spans="1:44" ht="13.5" thickBot="1">
      <c r="B83" s="613" t="s">
        <v>1340</v>
      </c>
      <c r="C83" s="34"/>
      <c r="D83" s="34"/>
      <c r="E83" s="34"/>
      <c r="F83" s="725" t="e">
        <v>#REF!</v>
      </c>
      <c r="G83" s="725" t="e">
        <v>#REF!</v>
      </c>
      <c r="H83" s="725" t="e">
        <v>#REF!</v>
      </c>
      <c r="I83" s="725" t="e">
        <v>#REF!</v>
      </c>
      <c r="J83" s="725" t="e">
        <v>#REF!</v>
      </c>
      <c r="K83" s="725" t="e">
        <v>#REF!</v>
      </c>
      <c r="L83" s="725" t="e">
        <v>#REF!</v>
      </c>
      <c r="M83" s="725" t="e">
        <v>#REF!</v>
      </c>
      <c r="N83" s="725">
        <v>2262250</v>
      </c>
      <c r="O83" s="725">
        <v>716596</v>
      </c>
      <c r="P83" s="725">
        <v>700330</v>
      </c>
      <c r="Q83" s="725">
        <v>2090857</v>
      </c>
      <c r="R83" s="994">
        <v>145507</v>
      </c>
      <c r="S83" s="706">
        <v>218121</v>
      </c>
      <c r="T83" s="706">
        <v>211000</v>
      </c>
      <c r="U83" s="706">
        <v>225000</v>
      </c>
      <c r="V83" s="706">
        <v>143000</v>
      </c>
      <c r="W83" s="706">
        <v>-64000</v>
      </c>
      <c r="X83" s="706">
        <v>136000</v>
      </c>
      <c r="Y83" s="706">
        <v>146000</v>
      </c>
      <c r="Z83" s="706">
        <v>299000</v>
      </c>
      <c r="AA83" s="706">
        <v>115000</v>
      </c>
      <c r="AB83" s="706">
        <v>185000</v>
      </c>
      <c r="AC83" s="616"/>
      <c r="AD83" s="616"/>
      <c r="AE83" s="616"/>
      <c r="AF83" s="616"/>
      <c r="AG83" s="616"/>
      <c r="AH83" s="9"/>
      <c r="AI83" s="9"/>
      <c r="AJ83" s="9"/>
      <c r="AK83" s="9"/>
      <c r="AL83" s="9"/>
      <c r="AM83" s="9"/>
      <c r="AN83" s="9"/>
    </row>
    <row r="84" spans="1:44" ht="13.5" thickTop="1">
      <c r="A84" s="613"/>
      <c r="B84" s="34"/>
      <c r="C84" s="34"/>
      <c r="D84" s="34"/>
      <c r="E84" s="34"/>
      <c r="F84" s="706"/>
      <c r="G84" s="706"/>
      <c r="H84" s="706"/>
      <c r="I84" s="706"/>
      <c r="J84" s="706"/>
      <c r="K84" s="706"/>
      <c r="L84" s="706"/>
      <c r="M84" s="706"/>
      <c r="N84" s="706"/>
      <c r="O84" s="706"/>
      <c r="P84" s="706"/>
      <c r="Q84" s="706"/>
      <c r="R84" s="706"/>
      <c r="S84" s="706"/>
      <c r="T84" s="706"/>
      <c r="U84" s="706"/>
      <c r="V84" s="706"/>
      <c r="W84" s="706"/>
      <c r="X84" s="706"/>
      <c r="Y84" s="706"/>
      <c r="Z84" s="706"/>
      <c r="AA84" s="706"/>
      <c r="AB84" s="706"/>
      <c r="AC84" s="616"/>
      <c r="AD84" s="616"/>
      <c r="AE84" s="616"/>
      <c r="AF84" s="616"/>
      <c r="AG84" s="616"/>
      <c r="AH84" s="9"/>
      <c r="AI84" s="9"/>
      <c r="AJ84" s="9"/>
      <c r="AK84" s="9"/>
      <c r="AL84" s="9"/>
      <c r="AM84" s="9"/>
      <c r="AN84" s="9"/>
    </row>
    <row r="85" spans="1:44" ht="18.75" customHeight="1">
      <c r="F85" s="1171"/>
      <c r="G85" s="1171"/>
      <c r="H85" s="1171"/>
      <c r="I85" s="1171"/>
      <c r="J85" s="1171"/>
      <c r="K85" s="1171"/>
      <c r="L85" s="1171"/>
      <c r="M85" s="1171"/>
      <c r="N85" s="1171"/>
      <c r="O85" s="1171"/>
      <c r="P85" s="1171"/>
      <c r="Q85" s="1171"/>
      <c r="R85" s="1171"/>
      <c r="S85" s="1171"/>
      <c r="T85" s="1171"/>
      <c r="U85" s="1171"/>
      <c r="W85" s="1561" t="s">
        <v>102</v>
      </c>
      <c r="X85" s="1562"/>
      <c r="Y85" s="1562"/>
      <c r="Z85" s="1562"/>
      <c r="AA85" s="1563"/>
      <c r="AB85" s="1083">
        <v>2.2999999999999998</v>
      </c>
      <c r="AC85" s="1081"/>
      <c r="AD85" s="616"/>
      <c r="AE85" s="616"/>
      <c r="AF85" s="616"/>
      <c r="AG85" s="616"/>
      <c r="AH85" s="9"/>
      <c r="AI85" s="9"/>
      <c r="AJ85" s="9"/>
      <c r="AK85" s="9"/>
      <c r="AL85" s="9"/>
      <c r="AM85" s="9"/>
      <c r="AN85" s="9"/>
      <c r="AO85" s="2"/>
      <c r="AP85" s="2"/>
      <c r="AQ85" s="2"/>
      <c r="AR85" s="2"/>
    </row>
    <row r="86" spans="1:44">
      <c r="A86" s="1495"/>
      <c r="B86" s="1495"/>
      <c r="C86" s="1495"/>
      <c r="D86" s="1495"/>
      <c r="E86" s="959"/>
      <c r="F86" s="34">
        <v>0</v>
      </c>
      <c r="G86" s="34">
        <v>1</v>
      </c>
      <c r="H86" s="34">
        <v>2</v>
      </c>
      <c r="I86" s="34">
        <v>3</v>
      </c>
      <c r="J86" s="34">
        <v>4</v>
      </c>
      <c r="K86" s="34">
        <v>5</v>
      </c>
      <c r="L86" s="34">
        <v>6</v>
      </c>
      <c r="M86" s="34">
        <v>7</v>
      </c>
      <c r="N86" s="1276">
        <v>8</v>
      </c>
      <c r="O86" s="34">
        <v>9</v>
      </c>
      <c r="P86" s="34">
        <v>10</v>
      </c>
      <c r="Q86" s="34">
        <v>11</v>
      </c>
      <c r="R86" s="34">
        <v>0</v>
      </c>
      <c r="S86" s="34">
        <v>1</v>
      </c>
      <c r="T86" s="34">
        <v>2</v>
      </c>
      <c r="U86" s="34">
        <v>3</v>
      </c>
      <c r="V86" s="34">
        <v>4</v>
      </c>
      <c r="W86" s="34">
        <v>5</v>
      </c>
      <c r="X86" s="34">
        <v>6</v>
      </c>
      <c r="Y86" s="34">
        <v>7</v>
      </c>
      <c r="Z86" s="34">
        <v>8</v>
      </c>
      <c r="AA86" s="34">
        <v>9</v>
      </c>
      <c r="AB86" s="34">
        <v>10</v>
      </c>
      <c r="AC86" s="616"/>
      <c r="AD86" s="616"/>
      <c r="AE86" s="616"/>
      <c r="AF86" s="616"/>
      <c r="AG86" s="616"/>
      <c r="AH86" s="9"/>
      <c r="AI86" s="9"/>
      <c r="AJ86" s="9"/>
      <c r="AK86" s="9"/>
      <c r="AL86" s="9"/>
      <c r="AM86" s="9"/>
      <c r="AN86" s="9"/>
      <c r="AO86" s="2"/>
      <c r="AP86" s="2"/>
      <c r="AQ86" s="2"/>
      <c r="AR86" s="2"/>
    </row>
    <row r="87" spans="1:44">
      <c r="E87" s="1276"/>
      <c r="F87" s="980">
        <v>1999</v>
      </c>
      <c r="G87" s="980">
        <v>2000</v>
      </c>
      <c r="H87" s="980">
        <v>2001</v>
      </c>
      <c r="I87" s="980">
        <v>2002</v>
      </c>
      <c r="J87" s="980">
        <v>2003</v>
      </c>
      <c r="K87" s="980">
        <v>2004</v>
      </c>
      <c r="L87" s="980">
        <v>2005</v>
      </c>
      <c r="M87" s="980">
        <v>2006</v>
      </c>
      <c r="N87" s="980">
        <v>2007</v>
      </c>
      <c r="O87" s="980">
        <v>2008</v>
      </c>
      <c r="P87" s="980">
        <v>2009</v>
      </c>
      <c r="Q87" s="980">
        <v>2010</v>
      </c>
      <c r="R87" s="980">
        <v>2011</v>
      </c>
      <c r="S87" s="980">
        <v>2012</v>
      </c>
      <c r="T87" s="980">
        <v>2013</v>
      </c>
      <c r="U87" s="980">
        <v>2014</v>
      </c>
      <c r="V87" s="980">
        <v>2015</v>
      </c>
      <c r="W87" s="980">
        <v>2016</v>
      </c>
      <c r="X87" s="980">
        <v>2017</v>
      </c>
      <c r="Y87" s="980">
        <v>2018</v>
      </c>
      <c r="Z87" s="980">
        <v>2019</v>
      </c>
      <c r="AA87" s="980">
        <v>2020</v>
      </c>
      <c r="AB87" s="980">
        <v>2021</v>
      </c>
      <c r="AC87" s="616"/>
      <c r="AD87" s="616"/>
      <c r="AE87" s="616"/>
      <c r="AF87" s="616"/>
      <c r="AG87" s="616"/>
      <c r="AH87" s="9"/>
      <c r="AI87" s="9"/>
      <c r="AJ87" s="9"/>
      <c r="AK87" s="9"/>
      <c r="AL87" s="9"/>
      <c r="AM87" s="9"/>
      <c r="AN87" s="9"/>
      <c r="AO87" s="2"/>
      <c r="AP87" s="2"/>
      <c r="AQ87" s="2"/>
      <c r="AR87" s="2"/>
    </row>
    <row r="88" spans="1:44">
      <c r="A88" s="993" t="s">
        <v>100</v>
      </c>
      <c r="B88" s="993"/>
      <c r="C88" s="993"/>
      <c r="D88" s="993"/>
      <c r="AC88" s="1108"/>
      <c r="AD88" s="616"/>
      <c r="AE88" s="616"/>
      <c r="AF88" s="1108"/>
      <c r="AG88" s="1108"/>
      <c r="AN88" s="9"/>
      <c r="AO88" s="2"/>
      <c r="AP88" s="2"/>
      <c r="AQ88" s="2"/>
      <c r="AR88" s="2"/>
    </row>
    <row r="89" spans="1:44">
      <c r="A89" s="729"/>
      <c r="B89" s="613" t="s">
        <v>97</v>
      </c>
      <c r="C89" s="34"/>
      <c r="D89" s="458"/>
      <c r="E89" s="458"/>
      <c r="F89" s="616" t="e">
        <v>#REF!</v>
      </c>
      <c r="G89" s="616" t="e">
        <v>#REF!</v>
      </c>
      <c r="H89" s="616" t="e">
        <v>#REF!</v>
      </c>
      <c r="I89" s="616" t="e">
        <v>#REF!</v>
      </c>
      <c r="J89" s="616" t="e">
        <v>#REF!</v>
      </c>
      <c r="K89" s="616" t="e">
        <v>#REF!</v>
      </c>
      <c r="L89" s="616" t="e">
        <v>#REF!</v>
      </c>
      <c r="M89" s="616" t="e">
        <v>#REF!</v>
      </c>
      <c r="N89" s="616">
        <v>819825</v>
      </c>
      <c r="O89" s="616">
        <v>754666</v>
      </c>
      <c r="P89" s="616">
        <v>673434</v>
      </c>
      <c r="Q89" s="616">
        <v>901473</v>
      </c>
      <c r="R89" s="707">
        <v>150294</v>
      </c>
      <c r="S89" s="707">
        <v>190000</v>
      </c>
      <c r="T89" s="707">
        <v>199000</v>
      </c>
      <c r="U89" s="707">
        <v>234000</v>
      </c>
      <c r="V89" s="707">
        <v>133000</v>
      </c>
      <c r="W89" s="707">
        <v>-66000</v>
      </c>
      <c r="X89" s="707">
        <v>129000</v>
      </c>
      <c r="Y89" s="707">
        <v>132000</v>
      </c>
      <c r="Z89" s="707">
        <v>345000</v>
      </c>
      <c r="AA89" s="707">
        <v>125000</v>
      </c>
      <c r="AB89" s="707">
        <v>187000</v>
      </c>
      <c r="AC89" s="1108"/>
      <c r="AD89" s="616"/>
      <c r="AE89" s="616"/>
      <c r="AF89" s="1108"/>
      <c r="AG89" s="1108"/>
      <c r="AN89" s="9"/>
      <c r="AO89" s="2"/>
      <c r="AP89" s="2"/>
      <c r="AQ89" s="2"/>
      <c r="AR89" s="2"/>
    </row>
    <row r="90" spans="1:44">
      <c r="A90" s="729"/>
      <c r="B90" s="721" t="s">
        <v>109</v>
      </c>
      <c r="C90" s="43"/>
      <c r="D90" s="732"/>
      <c r="E90" s="733"/>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1108"/>
      <c r="AD90" s="616"/>
      <c r="AE90" s="616"/>
      <c r="AF90" s="1108"/>
      <c r="AG90" s="1108"/>
      <c r="AN90" s="9"/>
      <c r="AO90" s="2"/>
      <c r="AP90" s="2"/>
      <c r="AQ90" s="2"/>
      <c r="AR90" s="2"/>
    </row>
    <row r="91" spans="1:44">
      <c r="A91" s="729"/>
      <c r="B91" s="34" t="s">
        <v>1210</v>
      </c>
      <c r="C91" s="34"/>
      <c r="D91" s="729"/>
      <c r="E91" s="616"/>
      <c r="F91" s="616"/>
      <c r="G91" s="616"/>
      <c r="H91" s="616"/>
      <c r="I91" s="616"/>
      <c r="J91" s="616"/>
      <c r="K91" s="726">
        <v>12419</v>
      </c>
      <c r="L91" s="616"/>
      <c r="M91" s="616"/>
      <c r="N91" s="616"/>
      <c r="O91" s="616"/>
      <c r="P91" s="616"/>
      <c r="Q91" s="616"/>
      <c r="R91" s="616"/>
      <c r="S91" s="616"/>
      <c r="T91" s="616"/>
      <c r="U91" s="616"/>
      <c r="V91" s="616">
        <v>0</v>
      </c>
      <c r="W91" s="616">
        <v>43000</v>
      </c>
      <c r="X91" s="616"/>
      <c r="Y91" s="616"/>
      <c r="Z91" s="616"/>
      <c r="AA91" s="616"/>
      <c r="AB91" s="616"/>
      <c r="AC91" s="1108"/>
      <c r="AD91" s="616"/>
      <c r="AE91" s="616"/>
      <c r="AF91" s="1108"/>
      <c r="AG91" s="1108"/>
      <c r="AN91" s="9"/>
      <c r="AO91" s="2"/>
      <c r="AP91" s="2"/>
      <c r="AQ91" s="2"/>
      <c r="AR91" s="2"/>
    </row>
    <row r="92" spans="1:44">
      <c r="A92" s="729"/>
      <c r="B92" s="34" t="s">
        <v>111</v>
      </c>
      <c r="C92" s="34"/>
      <c r="D92" s="729"/>
      <c r="E92" s="616"/>
      <c r="F92" s="616">
        <v>0</v>
      </c>
      <c r="G92" s="616">
        <v>0</v>
      </c>
      <c r="H92" s="616">
        <v>0</v>
      </c>
      <c r="I92" s="616">
        <v>0</v>
      </c>
      <c r="J92" s="616">
        <v>0</v>
      </c>
      <c r="K92" s="616">
        <v>0</v>
      </c>
      <c r="L92" s="616">
        <v>0</v>
      </c>
      <c r="M92" s="616">
        <v>0</v>
      </c>
      <c r="N92" s="616">
        <v>0</v>
      </c>
      <c r="O92" s="616">
        <v>0</v>
      </c>
      <c r="P92" s="616">
        <v>0</v>
      </c>
      <c r="Q92" s="616">
        <v>0</v>
      </c>
      <c r="R92" s="616">
        <v>12095</v>
      </c>
      <c r="S92" s="616"/>
      <c r="T92" s="616"/>
      <c r="U92" s="616"/>
      <c r="V92" s="616"/>
      <c r="W92" s="616"/>
      <c r="X92" s="616"/>
      <c r="Y92" s="616"/>
      <c r="Z92" s="616"/>
      <c r="AA92" s="616"/>
      <c r="AB92" s="616"/>
      <c r="AC92" s="1108"/>
      <c r="AD92" s="616"/>
      <c r="AE92" s="616"/>
      <c r="AF92" s="616"/>
      <c r="AG92" s="1108"/>
      <c r="AN92" s="9"/>
      <c r="AO92" s="2"/>
      <c r="AP92" s="2"/>
      <c r="AQ92" s="2"/>
      <c r="AR92" s="2"/>
    </row>
    <row r="93" spans="1:44">
      <c r="A93" s="729"/>
      <c r="B93" s="34" t="s">
        <v>113</v>
      </c>
      <c r="C93" s="34"/>
      <c r="D93" s="729"/>
      <c r="E93" s="616"/>
      <c r="F93" s="616">
        <v>0</v>
      </c>
      <c r="G93" s="616">
        <v>0</v>
      </c>
      <c r="H93" s="616">
        <v>0</v>
      </c>
      <c r="I93" s="616">
        <v>0</v>
      </c>
      <c r="J93" s="616">
        <v>0</v>
      </c>
      <c r="K93" s="616">
        <v>0</v>
      </c>
      <c r="L93" s="616">
        <v>0</v>
      </c>
      <c r="M93" s="616">
        <v>0</v>
      </c>
      <c r="N93" s="616"/>
      <c r="O93" s="616">
        <v>0</v>
      </c>
      <c r="P93" s="616">
        <v>6428</v>
      </c>
      <c r="Q93" s="616">
        <v>1200</v>
      </c>
      <c r="R93" s="616"/>
      <c r="S93" s="616">
        <v>4000</v>
      </c>
      <c r="T93" s="616">
        <v>72000</v>
      </c>
      <c r="U93" s="616">
        <v>2000</v>
      </c>
      <c r="V93" s="616">
        <v>0</v>
      </c>
      <c r="W93" s="616">
        <v>36000</v>
      </c>
      <c r="X93" s="1499" t="s">
        <v>1385</v>
      </c>
      <c r="Y93" s="1500"/>
      <c r="Z93" s="616"/>
      <c r="AA93" s="616"/>
      <c r="AB93" s="616"/>
      <c r="AC93" s="1108"/>
      <c r="AD93" s="616"/>
      <c r="AE93" s="616"/>
      <c r="AF93" s="616"/>
      <c r="AG93" s="1108"/>
      <c r="AN93" s="9"/>
      <c r="AO93" s="2"/>
      <c r="AP93" s="2"/>
      <c r="AQ93" s="2"/>
      <c r="AR93" s="2"/>
    </row>
    <row r="94" spans="1:44">
      <c r="A94" s="616"/>
      <c r="B94" s="34" t="s">
        <v>114</v>
      </c>
      <c r="C94" s="34"/>
      <c r="D94" s="616"/>
      <c r="E94" s="616"/>
      <c r="F94" s="616">
        <v>0</v>
      </c>
      <c r="G94" s="616">
        <v>0</v>
      </c>
      <c r="H94" s="616">
        <v>0</v>
      </c>
      <c r="I94" s="616">
        <v>0</v>
      </c>
      <c r="J94" s="616">
        <v>0</v>
      </c>
      <c r="K94" s="616">
        <v>0</v>
      </c>
      <c r="L94" s="616">
        <v>0</v>
      </c>
      <c r="M94" s="616">
        <v>0</v>
      </c>
      <c r="N94" s="616"/>
      <c r="O94" s="616">
        <v>139556</v>
      </c>
      <c r="P94" s="616">
        <v>149793</v>
      </c>
      <c r="Q94" s="616">
        <v>174318</v>
      </c>
      <c r="R94" s="616">
        <v>166322</v>
      </c>
      <c r="S94" s="616">
        <v>193000</v>
      </c>
      <c r="T94" s="616">
        <v>195000</v>
      </c>
      <c r="U94" s="616">
        <v>190000</v>
      </c>
      <c r="V94" s="616">
        <v>204000</v>
      </c>
      <c r="W94" s="616">
        <v>201000</v>
      </c>
      <c r="X94" s="1414">
        <v>208000</v>
      </c>
      <c r="Y94" s="1415">
        <v>220000</v>
      </c>
      <c r="Z94" s="616">
        <v>205000</v>
      </c>
      <c r="AA94" s="616">
        <v>220000</v>
      </c>
      <c r="AB94" s="616">
        <v>249000</v>
      </c>
      <c r="AC94" s="1108"/>
      <c r="AD94" s="616"/>
      <c r="AE94" s="616"/>
      <c r="AF94" s="1108"/>
      <c r="AG94" s="1108"/>
      <c r="AN94" s="9"/>
      <c r="AO94" s="2"/>
      <c r="AP94" s="2"/>
      <c r="AQ94" s="2"/>
      <c r="AR94" s="2"/>
    </row>
    <row r="95" spans="1:44">
      <c r="A95" s="616"/>
      <c r="B95" s="34" t="s">
        <v>116</v>
      </c>
      <c r="C95" s="34"/>
      <c r="D95" s="616"/>
      <c r="E95" s="616"/>
      <c r="F95" s="616"/>
      <c r="G95" s="616"/>
      <c r="H95" s="616"/>
      <c r="I95" s="616"/>
      <c r="J95" s="616"/>
      <c r="K95" s="616"/>
      <c r="L95" s="616"/>
      <c r="M95" s="616"/>
      <c r="N95" s="616"/>
      <c r="O95" s="616"/>
      <c r="P95" s="616"/>
      <c r="Q95" s="616"/>
      <c r="R95" s="616"/>
      <c r="S95" s="616"/>
      <c r="T95" s="616"/>
      <c r="U95" s="616"/>
      <c r="V95" s="616"/>
      <c r="W95" s="616"/>
      <c r="X95" s="616">
        <v>6000</v>
      </c>
      <c r="Y95" s="616">
        <v>8000</v>
      </c>
      <c r="Z95" s="616">
        <v>9000</v>
      </c>
      <c r="AA95" s="616">
        <v>11000</v>
      </c>
      <c r="AB95" s="616">
        <v>11000</v>
      </c>
      <c r="AC95" s="616"/>
      <c r="AD95" s="616"/>
      <c r="AE95" s="616"/>
      <c r="AF95" s="1108"/>
      <c r="AG95" s="1108"/>
      <c r="AN95" s="9"/>
      <c r="AO95" s="2"/>
      <c r="AP95" s="2"/>
      <c r="AQ95" s="2"/>
      <c r="AR95" s="2"/>
    </row>
    <row r="96" spans="1:44">
      <c r="A96" s="616"/>
      <c r="B96" s="34" t="s">
        <v>117</v>
      </c>
      <c r="C96" s="34"/>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v>10000</v>
      </c>
      <c r="AB96" s="616">
        <v>2000</v>
      </c>
      <c r="AC96" s="1108"/>
      <c r="AD96" s="616"/>
      <c r="AE96" s="616"/>
      <c r="AF96" s="1108"/>
      <c r="AG96" s="1108"/>
      <c r="AN96" s="9"/>
      <c r="AO96" s="2"/>
      <c r="AP96" s="2"/>
      <c r="AQ96" s="2"/>
      <c r="AR96" s="2"/>
    </row>
    <row r="97" spans="1:44">
      <c r="A97" s="729"/>
      <c r="B97" s="34" t="s">
        <v>1211</v>
      </c>
      <c r="C97" s="34"/>
      <c r="D97" s="729"/>
      <c r="E97" s="616"/>
      <c r="F97" s="616">
        <v>0</v>
      </c>
      <c r="G97" s="616"/>
      <c r="H97" s="616"/>
      <c r="I97" s="616">
        <v>108</v>
      </c>
      <c r="J97" s="616">
        <v>22</v>
      </c>
      <c r="K97" s="616">
        <v>425</v>
      </c>
      <c r="L97" s="616">
        <v>135</v>
      </c>
      <c r="M97" s="616">
        <v>149</v>
      </c>
      <c r="N97" s="616">
        <v>0</v>
      </c>
      <c r="O97" s="616">
        <v>-508</v>
      </c>
      <c r="P97" s="616">
        <v>-4797</v>
      </c>
      <c r="Q97" s="616">
        <v>-275</v>
      </c>
      <c r="R97" s="707"/>
      <c r="S97" s="616"/>
      <c r="T97" s="616"/>
      <c r="U97" s="616">
        <v>-6000</v>
      </c>
      <c r="V97" s="616">
        <v>-2000</v>
      </c>
      <c r="W97" s="616"/>
      <c r="X97" s="616"/>
      <c r="Y97" s="616"/>
      <c r="Z97" s="616"/>
      <c r="AA97" s="616"/>
      <c r="AB97" s="616"/>
      <c r="AC97" s="34"/>
      <c r="AD97" s="616"/>
      <c r="AE97" s="616"/>
      <c r="AF97" s="34"/>
      <c r="AG97" s="34"/>
      <c r="AN97" s="9"/>
      <c r="AO97" s="2"/>
      <c r="AP97" s="2"/>
      <c r="AQ97" s="2"/>
      <c r="AR97" s="2"/>
    </row>
    <row r="98" spans="1:44">
      <c r="A98" s="729"/>
      <c r="B98" s="34" t="s">
        <v>118</v>
      </c>
      <c r="C98" s="34"/>
      <c r="D98" s="729"/>
      <c r="E98" s="616"/>
      <c r="F98" s="616">
        <v>0</v>
      </c>
      <c r="G98" s="616">
        <v>0</v>
      </c>
      <c r="H98" s="616">
        <v>0</v>
      </c>
      <c r="I98" s="616">
        <v>0</v>
      </c>
      <c r="J98" s="616">
        <v>0</v>
      </c>
      <c r="K98" s="616">
        <v>0</v>
      </c>
      <c r="L98" s="616">
        <v>-125</v>
      </c>
      <c r="M98" s="616">
        <v>1430</v>
      </c>
      <c r="N98" s="616">
        <v>0</v>
      </c>
      <c r="O98" s="616">
        <v>0</v>
      </c>
      <c r="P98" s="616">
        <v>0</v>
      </c>
      <c r="Q98" s="616">
        <v>2012</v>
      </c>
      <c r="R98" s="616">
        <v>-2382</v>
      </c>
      <c r="S98" s="616">
        <v>-2000</v>
      </c>
      <c r="T98" s="616"/>
      <c r="U98" s="616"/>
      <c r="V98" s="616"/>
      <c r="W98" s="616"/>
      <c r="X98" s="616"/>
      <c r="Y98" s="616"/>
      <c r="Z98" s="616"/>
      <c r="AA98" s="616"/>
      <c r="AB98" s="616"/>
      <c r="AC98" s="34"/>
      <c r="AD98" s="616"/>
      <c r="AE98" s="616"/>
      <c r="AF98" s="34"/>
      <c r="AG98" s="34"/>
      <c r="AN98" s="9"/>
      <c r="AO98" s="2"/>
      <c r="AP98" s="2"/>
      <c r="AQ98" s="2"/>
      <c r="AR98" s="2"/>
    </row>
    <row r="99" spans="1:44">
      <c r="A99" s="729"/>
      <c r="B99" s="34" t="s">
        <v>120</v>
      </c>
      <c r="C99" s="34"/>
      <c r="D99" s="616"/>
      <c r="E99" s="616"/>
      <c r="F99" s="616">
        <v>0</v>
      </c>
      <c r="G99" s="616"/>
      <c r="H99" s="616"/>
      <c r="I99" s="616"/>
      <c r="J99" s="616"/>
      <c r="K99" s="616"/>
      <c r="L99" s="616"/>
      <c r="M99" s="616"/>
      <c r="N99" s="616">
        <v>-24546</v>
      </c>
      <c r="O99" s="616">
        <v>-31165</v>
      </c>
      <c r="P99" s="616">
        <v>146598</v>
      </c>
      <c r="Q99" s="616">
        <v>71255</v>
      </c>
      <c r="R99" s="616">
        <v>5940</v>
      </c>
      <c r="S99" s="616">
        <v>11000</v>
      </c>
      <c r="T99" s="616">
        <v>-11000</v>
      </c>
      <c r="U99" s="616">
        <v>-7000</v>
      </c>
      <c r="V99" s="616">
        <v>37000</v>
      </c>
      <c r="W99" s="616">
        <v>21000</v>
      </c>
      <c r="X99" s="616">
        <v>-23000</v>
      </c>
      <c r="Y99" s="616">
        <v>-3000</v>
      </c>
      <c r="Z99" s="616">
        <v>-2000</v>
      </c>
      <c r="AA99" s="616">
        <v>0</v>
      </c>
      <c r="AB99" s="616">
        <v>-7000</v>
      </c>
      <c r="AC99" s="34"/>
      <c r="AD99" s="616"/>
      <c r="AE99" s="616"/>
      <c r="AF99" s="34"/>
      <c r="AG99" s="34"/>
      <c r="AN99" s="9"/>
      <c r="AO99" s="2"/>
      <c r="AP99" s="2"/>
      <c r="AQ99" s="2"/>
      <c r="AR99" s="2"/>
    </row>
    <row r="100" spans="1:44">
      <c r="A100" s="729"/>
      <c r="B100" s="34" t="s">
        <v>1214</v>
      </c>
      <c r="C100" s="34"/>
      <c r="D100" s="616"/>
      <c r="E100" s="616"/>
      <c r="F100" s="616">
        <v>0</v>
      </c>
      <c r="G100" s="616">
        <v>0</v>
      </c>
      <c r="H100" s="616">
        <v>0</v>
      </c>
      <c r="I100" s="616">
        <v>0</v>
      </c>
      <c r="J100" s="616">
        <v>0</v>
      </c>
      <c r="K100" s="616">
        <v>0</v>
      </c>
      <c r="L100" s="616">
        <v>0</v>
      </c>
      <c r="M100" s="616">
        <v>0</v>
      </c>
      <c r="N100" s="616">
        <v>0</v>
      </c>
      <c r="O100" s="616">
        <v>0</v>
      </c>
      <c r="P100" s="616">
        <v>0</v>
      </c>
      <c r="Q100" s="616">
        <v>0</v>
      </c>
      <c r="R100" s="616"/>
      <c r="S100" s="616">
        <v>-26000</v>
      </c>
      <c r="T100" s="616"/>
      <c r="U100" s="707"/>
      <c r="V100" s="616"/>
      <c r="W100" s="616">
        <v>217000</v>
      </c>
      <c r="X100" s="616"/>
      <c r="Y100" s="616"/>
      <c r="Z100" s="616"/>
      <c r="AA100" s="616"/>
      <c r="AB100" s="616"/>
      <c r="AC100" s="34"/>
      <c r="AD100" s="616"/>
      <c r="AE100" s="616"/>
      <c r="AF100" s="34"/>
      <c r="AG100" s="34"/>
      <c r="AN100" s="9"/>
      <c r="AO100" s="2"/>
      <c r="AP100" s="2"/>
      <c r="AQ100" s="2"/>
      <c r="AR100" s="2"/>
    </row>
    <row r="101" spans="1:44">
      <c r="A101" s="729"/>
      <c r="B101" s="34" t="s">
        <v>1212</v>
      </c>
      <c r="C101" s="34"/>
      <c r="D101" s="729"/>
      <c r="E101" s="616"/>
      <c r="F101" s="616">
        <v>0</v>
      </c>
      <c r="G101" s="616">
        <v>0</v>
      </c>
      <c r="H101" s="616">
        <v>0</v>
      </c>
      <c r="I101" s="616">
        <v>0</v>
      </c>
      <c r="J101" s="616">
        <v>0</v>
      </c>
      <c r="K101" s="616">
        <v>0</v>
      </c>
      <c r="L101" s="616">
        <v>0</v>
      </c>
      <c r="M101" s="616">
        <v>0</v>
      </c>
      <c r="N101" s="616">
        <v>-239</v>
      </c>
      <c r="O101" s="616">
        <v>0</v>
      </c>
      <c r="P101" s="616">
        <v>0</v>
      </c>
      <c r="Q101" s="616">
        <v>0</v>
      </c>
      <c r="R101" s="616"/>
      <c r="S101" s="616">
        <v>-2000</v>
      </c>
      <c r="T101" s="616">
        <v>-50000</v>
      </c>
      <c r="U101" s="616"/>
      <c r="V101" s="616"/>
      <c r="W101" s="616"/>
      <c r="X101" s="616"/>
      <c r="Y101" s="616"/>
      <c r="Z101" s="616"/>
      <c r="AA101" s="616"/>
      <c r="AB101" s="616"/>
      <c r="AC101" s="34"/>
      <c r="AD101" s="616"/>
      <c r="AE101" s="616"/>
      <c r="AF101" s="34"/>
      <c r="AG101" s="34"/>
      <c r="AN101" s="9"/>
      <c r="AO101" s="2"/>
      <c r="AP101" s="2"/>
      <c r="AQ101" s="2"/>
      <c r="AR101" s="2"/>
    </row>
    <row r="102" spans="1:44">
      <c r="A102" s="729"/>
      <c r="B102" s="34" t="s">
        <v>121</v>
      </c>
      <c r="C102" s="34"/>
      <c r="D102" s="729"/>
      <c r="E102" s="616"/>
      <c r="F102" s="616"/>
      <c r="G102" s="616"/>
      <c r="H102" s="616"/>
      <c r="I102" s="616"/>
      <c r="J102" s="616"/>
      <c r="K102" s="616"/>
      <c r="L102" s="616"/>
      <c r="M102" s="616"/>
      <c r="N102" s="616"/>
      <c r="O102" s="616"/>
      <c r="P102" s="616"/>
      <c r="Q102" s="616"/>
      <c r="R102" s="616"/>
      <c r="S102" s="616"/>
      <c r="T102" s="616"/>
      <c r="U102" s="616"/>
      <c r="V102" s="616"/>
      <c r="W102" s="616"/>
      <c r="X102" s="616"/>
      <c r="Y102" s="616"/>
      <c r="Z102" s="616">
        <v>1000</v>
      </c>
      <c r="AA102" s="616">
        <v>1000</v>
      </c>
      <c r="AB102" s="616">
        <v>1000</v>
      </c>
      <c r="AC102" s="34"/>
      <c r="AD102" s="616"/>
      <c r="AE102" s="616"/>
      <c r="AF102" s="34"/>
      <c r="AG102" s="34"/>
      <c r="AN102" s="9"/>
      <c r="AO102" s="2"/>
      <c r="AP102" s="2"/>
      <c r="AQ102" s="2"/>
      <c r="AR102" s="2"/>
    </row>
    <row r="103" spans="1:44">
      <c r="A103" s="729"/>
      <c r="B103" s="34" t="s">
        <v>1182</v>
      </c>
      <c r="C103" s="34"/>
      <c r="D103" s="729"/>
      <c r="E103" s="616"/>
      <c r="F103" s="616"/>
      <c r="G103" s="616"/>
      <c r="H103" s="616"/>
      <c r="I103" s="616"/>
      <c r="J103" s="616"/>
      <c r="K103" s="616"/>
      <c r="L103" s="616"/>
      <c r="M103" s="616"/>
      <c r="N103" s="616"/>
      <c r="O103" s="616"/>
      <c r="P103" s="616"/>
      <c r="Q103" s="616"/>
      <c r="R103" s="616">
        <v>1311</v>
      </c>
      <c r="S103" s="616">
        <v>2000</v>
      </c>
      <c r="T103" s="616">
        <v>-6000</v>
      </c>
      <c r="U103" s="616"/>
      <c r="V103" s="616"/>
      <c r="W103" s="616"/>
      <c r="X103" s="616">
        <v>5000</v>
      </c>
      <c r="Y103" s="616">
        <v>0</v>
      </c>
      <c r="Z103" s="616">
        <v>3000</v>
      </c>
      <c r="AA103" s="616"/>
      <c r="AB103" s="616"/>
      <c r="AC103" s="34"/>
      <c r="AD103" s="616"/>
      <c r="AE103" s="616"/>
      <c r="AF103" s="34"/>
      <c r="AG103" s="34"/>
      <c r="AN103" s="9"/>
      <c r="AO103" s="2"/>
      <c r="AP103" s="2"/>
      <c r="AQ103" s="2"/>
      <c r="AR103" s="2"/>
    </row>
    <row r="104" spans="1:44">
      <c r="A104" s="729"/>
      <c r="B104" s="34" t="s">
        <v>123</v>
      </c>
      <c r="C104" s="34"/>
      <c r="D104" s="729"/>
      <c r="E104" s="616"/>
      <c r="F104" s="616">
        <v>0</v>
      </c>
      <c r="G104" s="616">
        <v>0</v>
      </c>
      <c r="H104" s="616">
        <v>0</v>
      </c>
      <c r="I104" s="616">
        <v>0</v>
      </c>
      <c r="J104" s="616">
        <v>0</v>
      </c>
      <c r="K104" s="616">
        <v>0</v>
      </c>
      <c r="L104" s="616">
        <v>0</v>
      </c>
      <c r="M104" s="616">
        <v>0</v>
      </c>
      <c r="N104" s="616">
        <v>0</v>
      </c>
      <c r="O104" s="616">
        <v>981</v>
      </c>
      <c r="P104" s="616">
        <v>98</v>
      </c>
      <c r="Q104" s="616">
        <v>19</v>
      </c>
      <c r="R104" s="616">
        <v>2928</v>
      </c>
      <c r="S104" s="616">
        <v>3000</v>
      </c>
      <c r="T104" s="616">
        <v>4000</v>
      </c>
      <c r="U104" s="616">
        <v>4000</v>
      </c>
      <c r="V104" s="616">
        <v>4000</v>
      </c>
      <c r="W104" s="616">
        <v>5000</v>
      </c>
      <c r="X104" s="616">
        <v>3000</v>
      </c>
      <c r="Y104" s="616">
        <v>3000</v>
      </c>
      <c r="Z104" s="616">
        <v>4000</v>
      </c>
      <c r="AA104" s="616">
        <v>3000</v>
      </c>
      <c r="AB104" s="616">
        <v>2000</v>
      </c>
      <c r="AC104" s="34"/>
      <c r="AD104" s="616"/>
      <c r="AE104" s="616"/>
      <c r="AF104" s="34"/>
      <c r="AG104" s="34"/>
      <c r="AN104" s="9"/>
      <c r="AO104" s="2"/>
      <c r="AP104" s="2"/>
      <c r="AQ104" s="2"/>
      <c r="AR104" s="2"/>
    </row>
    <row r="105" spans="1:44">
      <c r="A105" s="729"/>
      <c r="B105" s="34" t="s">
        <v>1209</v>
      </c>
      <c r="C105" s="34"/>
      <c r="D105" s="729"/>
      <c r="E105" s="616"/>
      <c r="F105" s="616"/>
      <c r="G105" s="616"/>
      <c r="H105" s="616"/>
      <c r="I105" s="616"/>
      <c r="J105" s="616"/>
      <c r="K105" s="616"/>
      <c r="L105" s="616"/>
      <c r="M105" s="616"/>
      <c r="N105" s="616"/>
      <c r="O105" s="616"/>
      <c r="P105" s="616"/>
      <c r="Q105" s="616"/>
      <c r="R105" s="616"/>
      <c r="S105" s="616"/>
      <c r="T105" s="616"/>
      <c r="U105" s="616"/>
      <c r="V105" s="616"/>
      <c r="W105" s="616"/>
      <c r="X105" s="616"/>
      <c r="Y105" s="616">
        <v>-2000</v>
      </c>
      <c r="Z105" s="616">
        <v>-171000</v>
      </c>
      <c r="AA105" s="616"/>
      <c r="AB105" s="616"/>
      <c r="AC105" s="34"/>
      <c r="AD105" s="616"/>
      <c r="AE105" s="616"/>
      <c r="AF105" s="34"/>
      <c r="AG105" s="34"/>
      <c r="AN105" s="9"/>
      <c r="AO105" s="2"/>
      <c r="AP105" s="2"/>
      <c r="AQ105" s="2"/>
      <c r="AR105" s="2"/>
    </row>
    <row r="106" spans="1:44" ht="13.5" thickBot="1">
      <c r="A106" s="729"/>
      <c r="B106" s="613" t="s">
        <v>1213</v>
      </c>
      <c r="C106" s="613"/>
      <c r="D106" s="729"/>
      <c r="E106" s="616"/>
      <c r="F106" s="725">
        <v>0</v>
      </c>
      <c r="G106" s="725">
        <v>0</v>
      </c>
      <c r="H106" s="725">
        <v>0</v>
      </c>
      <c r="I106" s="725">
        <v>108</v>
      </c>
      <c r="J106" s="725">
        <v>22</v>
      </c>
      <c r="K106" s="725">
        <v>12844</v>
      </c>
      <c r="L106" s="725">
        <v>10</v>
      </c>
      <c r="M106" s="725">
        <v>1579</v>
      </c>
      <c r="N106" s="725">
        <v>-24785</v>
      </c>
      <c r="O106" s="725">
        <v>108864</v>
      </c>
      <c r="P106" s="725">
        <v>298120</v>
      </c>
      <c r="Q106" s="725">
        <v>248529</v>
      </c>
      <c r="R106" s="725">
        <v>336508</v>
      </c>
      <c r="S106" s="725">
        <v>373000</v>
      </c>
      <c r="T106" s="725">
        <v>403000</v>
      </c>
      <c r="U106" s="725">
        <v>417000</v>
      </c>
      <c r="V106" s="725">
        <v>376000</v>
      </c>
      <c r="W106" s="725">
        <v>457000</v>
      </c>
      <c r="X106" s="725">
        <v>328000</v>
      </c>
      <c r="Y106" s="725">
        <v>358000</v>
      </c>
      <c r="Z106" s="725">
        <v>394000</v>
      </c>
      <c r="AA106" s="725">
        <v>370000</v>
      </c>
      <c r="AB106" s="725">
        <v>445000</v>
      </c>
      <c r="AC106" s="34"/>
      <c r="AD106" s="616"/>
      <c r="AE106" s="616"/>
      <c r="AF106" s="34"/>
      <c r="AG106" s="34"/>
      <c r="AN106" s="9"/>
      <c r="AO106" s="2"/>
      <c r="AP106" s="2"/>
      <c r="AQ106" s="2"/>
      <c r="AR106" s="2"/>
    </row>
    <row r="107" spans="1:44" ht="18.75" thickTop="1">
      <c r="A107" s="616"/>
      <c r="E107" s="616"/>
      <c r="F107" s="616"/>
      <c r="G107" s="616"/>
      <c r="H107" s="616"/>
      <c r="I107" s="616"/>
      <c r="J107" s="616"/>
      <c r="K107" s="616"/>
      <c r="L107" s="616"/>
      <c r="M107" s="616"/>
      <c r="N107" s="616"/>
      <c r="O107" s="616"/>
      <c r="P107" s="616"/>
      <c r="Q107" s="616"/>
      <c r="R107" s="616"/>
      <c r="S107" s="616"/>
      <c r="T107" s="616"/>
      <c r="U107" s="616"/>
      <c r="V107" s="616"/>
      <c r="W107" s="1558" t="s">
        <v>1231</v>
      </c>
      <c r="X107" s="1559"/>
      <c r="Y107" s="1559"/>
      <c r="Z107" s="1559"/>
      <c r="AA107" s="1560"/>
      <c r="AB107" s="1083">
        <v>2.4</v>
      </c>
      <c r="AC107" s="616"/>
      <c r="AD107" s="616"/>
      <c r="AE107" s="616"/>
      <c r="AF107" s="616"/>
      <c r="AG107" s="34"/>
      <c r="AN107" s="9"/>
      <c r="AO107" s="2"/>
      <c r="AP107" s="2"/>
      <c r="AQ107" s="2"/>
      <c r="AR107" s="2"/>
    </row>
    <row r="108" spans="1:44" ht="18">
      <c r="A108" s="996" t="s">
        <v>1231</v>
      </c>
      <c r="B108" s="995"/>
      <c r="C108" s="996"/>
      <c r="D108" s="996"/>
      <c r="E108" s="616"/>
      <c r="F108" s="616"/>
      <c r="G108" s="616"/>
      <c r="H108" s="616"/>
      <c r="I108" s="616"/>
      <c r="J108" s="616"/>
      <c r="K108" s="616"/>
      <c r="L108" s="616"/>
      <c r="M108" s="616"/>
      <c r="N108" s="616"/>
      <c r="O108" s="616"/>
      <c r="P108" s="616"/>
      <c r="Q108" s="616"/>
      <c r="R108" s="616"/>
      <c r="S108" s="616"/>
      <c r="T108" s="616"/>
      <c r="U108" s="616"/>
      <c r="V108" s="616"/>
      <c r="W108" s="1389"/>
      <c r="X108" s="1389"/>
      <c r="Y108" s="1389"/>
      <c r="Z108" s="1389"/>
      <c r="AA108" s="1389"/>
      <c r="AB108" s="1125"/>
      <c r="AC108" s="616"/>
      <c r="AD108" s="616"/>
      <c r="AE108" s="616"/>
      <c r="AF108" s="616"/>
      <c r="AG108" s="34"/>
      <c r="AN108" s="9"/>
      <c r="AO108" s="2"/>
      <c r="AP108" s="2"/>
      <c r="AQ108" s="2"/>
      <c r="AR108" s="2"/>
    </row>
    <row r="109" spans="1:44" ht="18">
      <c r="A109" s="1390" t="s">
        <v>1397</v>
      </c>
      <c r="B109" s="1388"/>
      <c r="C109" s="1391"/>
      <c r="D109" s="1391"/>
      <c r="E109" s="616"/>
      <c r="F109" s="616"/>
      <c r="G109" s="616"/>
      <c r="H109" s="616"/>
      <c r="I109" s="616"/>
      <c r="J109" s="616"/>
      <c r="K109" s="616"/>
      <c r="L109" s="616"/>
      <c r="M109" s="616"/>
      <c r="N109" s="616"/>
      <c r="O109" s="616"/>
      <c r="P109" s="616"/>
      <c r="Q109" s="616"/>
      <c r="R109" s="616"/>
      <c r="S109" s="616"/>
      <c r="T109" s="616"/>
      <c r="U109" s="616"/>
      <c r="V109" s="616"/>
      <c r="W109" s="1389"/>
      <c r="X109" s="1389"/>
      <c r="Y109" s="1389"/>
      <c r="Z109" s="1389"/>
      <c r="AA109" s="1389"/>
      <c r="AB109" s="1125"/>
      <c r="AC109" s="616"/>
      <c r="AD109" s="616"/>
      <c r="AE109" s="616"/>
      <c r="AF109" s="616"/>
      <c r="AG109" s="34"/>
      <c r="AN109" s="9"/>
      <c r="AO109" s="2"/>
      <c r="AP109" s="2"/>
      <c r="AQ109" s="2"/>
      <c r="AR109" s="2"/>
    </row>
    <row r="110" spans="1:44">
      <c r="A110" s="43" t="s">
        <v>1199</v>
      </c>
      <c r="B110" s="1123"/>
      <c r="C110" s="1123"/>
      <c r="D110" s="702"/>
      <c r="E110" s="616"/>
      <c r="F110" s="616"/>
      <c r="G110" s="616"/>
      <c r="H110" s="616"/>
      <c r="I110" s="616"/>
      <c r="J110" s="616"/>
      <c r="K110" s="616"/>
      <c r="L110" s="616"/>
      <c r="M110" s="616"/>
      <c r="N110" s="616"/>
      <c r="O110" s="616"/>
      <c r="P110" s="616"/>
      <c r="Q110" s="616"/>
      <c r="R110" s="616">
        <v>-5940</v>
      </c>
      <c r="S110" s="616">
        <v>-11507</v>
      </c>
      <c r="T110" s="616">
        <v>11000</v>
      </c>
      <c r="U110" s="616">
        <v>7000</v>
      </c>
      <c r="V110" s="616">
        <v>-37000</v>
      </c>
      <c r="W110" s="616">
        <v>-21000</v>
      </c>
      <c r="X110" s="616">
        <v>23000</v>
      </c>
      <c r="Y110" s="616">
        <v>3000</v>
      </c>
      <c r="Z110" s="616">
        <v>2000</v>
      </c>
      <c r="AA110" s="616">
        <v>0</v>
      </c>
      <c r="AB110" s="616">
        <v>7000</v>
      </c>
      <c r="AC110" s="616"/>
      <c r="AD110" s="616"/>
      <c r="AE110" s="616"/>
      <c r="AF110" s="616"/>
      <c r="AG110" s="34"/>
      <c r="AN110" s="9"/>
      <c r="AO110" s="2"/>
      <c r="AP110" s="2"/>
      <c r="AQ110" s="2"/>
      <c r="AR110" s="2"/>
    </row>
    <row r="111" spans="1:44">
      <c r="A111" s="1347" t="s">
        <v>1201</v>
      </c>
      <c r="C111" s="1132"/>
      <c r="D111" s="616"/>
      <c r="E111" s="616"/>
      <c r="F111" s="616"/>
      <c r="G111" s="616"/>
      <c r="H111" s="616"/>
      <c r="I111" s="616"/>
      <c r="J111" s="616"/>
      <c r="K111" s="616"/>
      <c r="L111" s="616"/>
      <c r="M111" s="616"/>
      <c r="N111" s="616"/>
      <c r="O111" s="616"/>
      <c r="P111" s="616"/>
      <c r="Q111" s="616"/>
      <c r="R111" s="616"/>
      <c r="S111" s="616"/>
      <c r="T111" s="616"/>
      <c r="U111" s="616"/>
      <c r="V111" s="616"/>
      <c r="W111" s="616"/>
      <c r="X111" s="616"/>
      <c r="Y111" s="616"/>
      <c r="Z111" s="616"/>
      <c r="AA111" s="616"/>
      <c r="AB111" s="616"/>
      <c r="AC111" s="616"/>
      <c r="AD111" s="616"/>
      <c r="AE111" s="616"/>
      <c r="AF111" s="616"/>
      <c r="AG111" s="34"/>
      <c r="AN111" s="9"/>
      <c r="AO111" s="2"/>
      <c r="AP111" s="2"/>
      <c r="AQ111" s="2"/>
      <c r="AR111" s="2"/>
    </row>
    <row r="112" spans="1:44">
      <c r="A112" s="1348"/>
      <c r="B112" s="1256" t="s">
        <v>702</v>
      </c>
      <c r="C112" s="1111"/>
      <c r="D112" s="616"/>
      <c r="E112" s="616"/>
      <c r="F112" s="616"/>
      <c r="G112" s="616"/>
      <c r="H112" s="616"/>
      <c r="I112" s="616"/>
      <c r="J112" s="616"/>
      <c r="K112" s="616"/>
      <c r="L112" s="616"/>
      <c r="M112" s="616"/>
      <c r="N112" s="616"/>
      <c r="O112" s="616"/>
      <c r="P112" s="616"/>
      <c r="Q112" s="616"/>
      <c r="R112" s="616"/>
      <c r="S112" s="616"/>
      <c r="T112" s="616"/>
      <c r="U112" s="616"/>
      <c r="V112" s="616"/>
      <c r="W112" s="616"/>
      <c r="X112" s="616"/>
      <c r="Y112" s="616"/>
      <c r="Z112" s="616">
        <v>0</v>
      </c>
      <c r="AA112" s="616">
        <v>2000</v>
      </c>
      <c r="AB112" s="616">
        <v>8000</v>
      </c>
      <c r="AC112" s="616"/>
      <c r="AD112" s="616"/>
      <c r="AE112" s="616"/>
      <c r="AF112" s="616"/>
      <c r="AG112" s="34"/>
      <c r="AN112" s="9"/>
      <c r="AO112" s="2"/>
      <c r="AP112" s="2"/>
      <c r="AQ112" s="2"/>
      <c r="AR112" s="2"/>
    </row>
    <row r="113" spans="1:44">
      <c r="A113" s="1348"/>
      <c r="B113" s="1256" t="s">
        <v>9</v>
      </c>
      <c r="C113" s="1111"/>
      <c r="D113" s="616"/>
      <c r="E113" s="616"/>
      <c r="F113" s="616"/>
      <c r="G113" s="616"/>
      <c r="H113" s="616"/>
      <c r="I113" s="616"/>
      <c r="J113" s="616"/>
      <c r="K113" s="616"/>
      <c r="L113" s="616"/>
      <c r="M113" s="616"/>
      <c r="N113" s="616"/>
      <c r="O113" s="616"/>
      <c r="P113" s="616"/>
      <c r="Q113" s="616"/>
      <c r="R113" s="702"/>
      <c r="S113" s="702"/>
      <c r="T113" s="702"/>
      <c r="U113" s="702"/>
      <c r="V113" s="702"/>
      <c r="W113" s="702"/>
      <c r="X113" s="702"/>
      <c r="Y113" s="702"/>
      <c r="Z113" s="702">
        <v>2000</v>
      </c>
      <c r="AA113" s="702">
        <v>-2000</v>
      </c>
      <c r="AB113" s="702">
        <v>-1000</v>
      </c>
      <c r="AC113" s="616"/>
      <c r="AD113" s="616"/>
      <c r="AE113" s="616"/>
      <c r="AF113" s="616"/>
      <c r="AG113" s="34"/>
      <c r="AN113" s="9"/>
      <c r="AO113" s="2"/>
      <c r="AP113" s="2"/>
      <c r="AQ113" s="2"/>
      <c r="AR113" s="2"/>
    </row>
    <row r="114" spans="1:44">
      <c r="A114" s="34"/>
      <c r="B114" s="1111"/>
      <c r="C114" s="1111"/>
      <c r="D114" s="616"/>
      <c r="E114" s="616"/>
      <c r="F114" s="616"/>
      <c r="G114" s="616"/>
      <c r="H114" s="616"/>
      <c r="I114" s="616"/>
      <c r="J114" s="616"/>
      <c r="K114" s="616"/>
      <c r="L114" s="616"/>
      <c r="M114" s="616"/>
      <c r="N114" s="616"/>
      <c r="O114" s="616"/>
      <c r="P114" s="616"/>
      <c r="Q114" s="616"/>
      <c r="R114" s="616"/>
      <c r="S114" s="616">
        <v>0</v>
      </c>
      <c r="T114" s="616">
        <v>0</v>
      </c>
      <c r="U114" s="616">
        <v>0</v>
      </c>
      <c r="V114" s="616">
        <v>0</v>
      </c>
      <c r="W114" s="616">
        <v>0</v>
      </c>
      <c r="X114" s="616">
        <v>0</v>
      </c>
      <c r="Y114" s="616">
        <v>0</v>
      </c>
      <c r="Z114" s="616">
        <v>2000</v>
      </c>
      <c r="AA114" s="616">
        <v>0</v>
      </c>
      <c r="AB114" s="616">
        <v>7000</v>
      </c>
      <c r="AC114" s="616"/>
      <c r="AD114" s="616"/>
      <c r="AE114" s="616"/>
      <c r="AF114" s="616"/>
      <c r="AG114" s="34"/>
      <c r="AN114" s="9"/>
      <c r="AO114" s="2"/>
      <c r="AP114" s="2"/>
      <c r="AQ114" s="2"/>
      <c r="AR114" s="2"/>
    </row>
    <row r="115" spans="1:44">
      <c r="A115" s="43" t="s">
        <v>1341</v>
      </c>
      <c r="B115" s="1123"/>
      <c r="C115" s="1123"/>
      <c r="D115" s="702"/>
      <c r="E115" s="616"/>
      <c r="F115" s="616"/>
      <c r="G115" s="616"/>
      <c r="H115" s="616"/>
      <c r="I115" s="616"/>
      <c r="J115" s="616"/>
      <c r="K115" s="616"/>
      <c r="L115" s="616"/>
      <c r="M115" s="616"/>
      <c r="N115" s="616"/>
      <c r="O115" s="616"/>
      <c r="P115" s="616"/>
      <c r="Q115" s="616"/>
      <c r="R115" s="616"/>
      <c r="S115" s="616"/>
      <c r="T115" s="616"/>
      <c r="U115" s="616"/>
      <c r="V115" s="616"/>
      <c r="W115" s="616"/>
      <c r="X115" s="616"/>
      <c r="Y115" s="616"/>
      <c r="Z115" s="616"/>
      <c r="AA115" s="616"/>
      <c r="AB115" s="616"/>
      <c r="AC115" s="616"/>
      <c r="AD115" s="616"/>
      <c r="AE115" s="616"/>
      <c r="AF115" s="616"/>
      <c r="AG115" s="34"/>
      <c r="AN115" s="9"/>
      <c r="AO115" s="2"/>
      <c r="AP115" s="2"/>
      <c r="AQ115" s="2"/>
      <c r="AR115" s="2"/>
    </row>
    <row r="116" spans="1:44">
      <c r="A116" s="739" t="s">
        <v>1239</v>
      </c>
      <c r="B116" s="1111"/>
      <c r="C116" s="1111"/>
      <c r="D116" s="616"/>
      <c r="E116" s="616"/>
      <c r="F116" s="616"/>
      <c r="G116" s="616"/>
      <c r="H116" s="616"/>
      <c r="I116" s="616"/>
      <c r="J116" s="616"/>
      <c r="K116" s="616"/>
      <c r="L116" s="616"/>
      <c r="M116" s="616"/>
      <c r="N116" s="616"/>
      <c r="O116" s="616"/>
      <c r="P116" s="616"/>
      <c r="Q116" s="616"/>
      <c r="R116" s="616"/>
      <c r="S116" s="616"/>
      <c r="T116" s="616"/>
      <c r="U116" s="616"/>
      <c r="V116" s="616"/>
      <c r="W116" s="616"/>
      <c r="X116" s="616"/>
      <c r="Y116" s="616"/>
      <c r="Z116" s="616">
        <v>165000</v>
      </c>
      <c r="AA116" s="616"/>
      <c r="AB116" s="616"/>
      <c r="AC116" s="616"/>
      <c r="AD116" s="616"/>
      <c r="AE116" s="616"/>
      <c r="AF116" s="616"/>
      <c r="AG116" s="34"/>
      <c r="AN116" s="9"/>
      <c r="AO116" s="2"/>
      <c r="AP116" s="2"/>
      <c r="AQ116" s="2"/>
      <c r="AR116" s="2"/>
    </row>
    <row r="117" spans="1:44">
      <c r="A117" s="739" t="s">
        <v>1240</v>
      </c>
      <c r="B117" s="1111"/>
      <c r="C117" s="1111"/>
      <c r="D117" s="616"/>
      <c r="E117" s="616"/>
      <c r="F117" s="616"/>
      <c r="G117" s="616"/>
      <c r="H117" s="616"/>
      <c r="I117" s="616"/>
      <c r="J117" s="616"/>
      <c r="K117" s="616"/>
      <c r="L117" s="616"/>
      <c r="M117" s="616"/>
      <c r="N117" s="616"/>
      <c r="O117" s="616"/>
      <c r="P117" s="616"/>
      <c r="Q117" s="616"/>
      <c r="R117" s="616"/>
      <c r="S117" s="616"/>
      <c r="T117" s="616"/>
      <c r="U117" s="616"/>
      <c r="V117" s="616"/>
      <c r="W117" s="616"/>
      <c r="X117" s="616"/>
      <c r="Y117" s="616"/>
      <c r="Z117" s="616">
        <v>5000</v>
      </c>
      <c r="AA117" s="616"/>
      <c r="AB117" s="616"/>
      <c r="AC117" s="616"/>
      <c r="AD117" s="616"/>
      <c r="AE117" s="616"/>
      <c r="AF117" s="616"/>
      <c r="AG117" s="34"/>
      <c r="AN117" s="9"/>
      <c r="AO117" s="2"/>
      <c r="AP117" s="2"/>
      <c r="AQ117" s="2"/>
      <c r="AR117" s="2"/>
    </row>
    <row r="118" spans="1:44">
      <c r="A118" s="739" t="s">
        <v>1235</v>
      </c>
      <c r="B118" s="1111"/>
      <c r="C118" s="1111"/>
      <c r="D118" s="616"/>
      <c r="E118" s="616"/>
      <c r="F118" s="616"/>
      <c r="G118" s="616"/>
      <c r="H118" s="616"/>
      <c r="I118" s="616"/>
      <c r="J118" s="616"/>
      <c r="K118" s="616"/>
      <c r="L118" s="616"/>
      <c r="M118" s="616"/>
      <c r="N118" s="616"/>
      <c r="O118" s="616"/>
      <c r="P118" s="616"/>
      <c r="Q118" s="616"/>
      <c r="R118" s="616"/>
      <c r="S118" s="616"/>
      <c r="T118" s="616"/>
      <c r="U118" s="616">
        <v>7000</v>
      </c>
      <c r="V118" s="616"/>
      <c r="W118" s="616"/>
      <c r="X118" s="616"/>
      <c r="Y118" s="616"/>
      <c r="Z118" s="616"/>
      <c r="AA118" s="616"/>
      <c r="AB118" s="616"/>
      <c r="AC118" s="616"/>
      <c r="AD118" s="616"/>
      <c r="AE118" s="616"/>
      <c r="AF118" s="616"/>
      <c r="AG118" s="34"/>
      <c r="AN118" s="9"/>
      <c r="AO118" s="2"/>
      <c r="AP118" s="2"/>
      <c r="AQ118" s="2"/>
      <c r="AR118" s="2"/>
    </row>
    <row r="119" spans="1:44">
      <c r="A119" s="739" t="s">
        <v>1234</v>
      </c>
      <c r="B119" s="1111"/>
      <c r="C119" s="1111"/>
      <c r="D119" s="616"/>
      <c r="E119" s="616"/>
      <c r="F119" s="616"/>
      <c r="G119" s="616"/>
      <c r="H119" s="616"/>
      <c r="I119" s="616"/>
      <c r="J119" s="616"/>
      <c r="K119" s="616"/>
      <c r="L119" s="616"/>
      <c r="M119" s="616"/>
      <c r="N119" s="616"/>
      <c r="O119" s="616"/>
      <c r="P119" s="616"/>
      <c r="Q119" s="616"/>
      <c r="R119" s="616"/>
      <c r="S119" s="616"/>
      <c r="T119" s="616">
        <v>26000</v>
      </c>
      <c r="U119" s="616"/>
      <c r="V119" s="616"/>
      <c r="W119" s="616"/>
      <c r="X119" s="616"/>
      <c r="Y119" s="616"/>
      <c r="Z119" s="616"/>
      <c r="AA119" s="616"/>
      <c r="AB119" s="616"/>
      <c r="AC119" s="616"/>
      <c r="AD119" s="616"/>
      <c r="AE119" s="616"/>
      <c r="AF119" s="616"/>
      <c r="AG119" s="34"/>
      <c r="AN119" s="9"/>
      <c r="AO119" s="2"/>
      <c r="AP119" s="2"/>
      <c r="AQ119" s="2"/>
      <c r="AR119" s="2"/>
    </row>
    <row r="120" spans="1:44">
      <c r="A120" s="739" t="s">
        <v>1192</v>
      </c>
      <c r="B120" s="1111"/>
      <c r="C120" s="1111"/>
      <c r="D120" s="616"/>
      <c r="E120" s="616"/>
      <c r="F120" s="616"/>
      <c r="G120" s="616"/>
      <c r="H120" s="616"/>
      <c r="I120" s="616"/>
      <c r="J120" s="616"/>
      <c r="K120" s="616"/>
      <c r="L120" s="616"/>
      <c r="M120" s="616"/>
      <c r="N120" s="616"/>
      <c r="O120" s="616"/>
      <c r="P120" s="616"/>
      <c r="Q120" s="616"/>
      <c r="R120" s="616"/>
      <c r="S120" s="616"/>
      <c r="T120" s="616"/>
      <c r="U120" s="616"/>
      <c r="V120" s="616"/>
      <c r="W120" s="616">
        <v>-43000</v>
      </c>
      <c r="X120" s="616"/>
      <c r="Y120" s="616"/>
      <c r="Z120" s="616"/>
      <c r="AA120" s="616"/>
      <c r="AB120" s="616"/>
      <c r="AC120" s="616"/>
      <c r="AD120" s="616"/>
      <c r="AE120" s="616"/>
      <c r="AF120" s="616"/>
      <c r="AG120" s="34"/>
      <c r="AN120" s="9"/>
      <c r="AO120" s="2"/>
      <c r="AP120" s="2"/>
      <c r="AQ120" s="2"/>
      <c r="AR120" s="2"/>
    </row>
    <row r="121" spans="1:44">
      <c r="A121" s="739" t="s">
        <v>1386</v>
      </c>
      <c r="B121" s="1111"/>
      <c r="C121" s="1111"/>
      <c r="D121" s="616"/>
      <c r="E121" s="616"/>
      <c r="F121" s="616"/>
      <c r="G121" s="616"/>
      <c r="H121" s="616"/>
      <c r="I121" s="616"/>
      <c r="J121" s="616"/>
      <c r="K121" s="616"/>
      <c r="L121" s="616"/>
      <c r="M121" s="616"/>
      <c r="N121" s="616"/>
      <c r="O121" s="616"/>
      <c r="P121" s="616"/>
      <c r="Q121" s="616"/>
      <c r="R121" s="616"/>
      <c r="S121" s="616"/>
      <c r="T121" s="616">
        <v>17000</v>
      </c>
      <c r="U121" s="616"/>
      <c r="V121" s="616"/>
      <c r="W121" s="616">
        <v>-217000</v>
      </c>
      <c r="X121" s="616"/>
      <c r="Y121" s="616"/>
      <c r="Z121" s="616"/>
      <c r="AA121" s="616"/>
      <c r="AB121" s="616"/>
      <c r="AC121" s="616"/>
      <c r="AD121" s="616"/>
      <c r="AE121" s="616"/>
      <c r="AF121" s="616"/>
      <c r="AG121" s="34"/>
      <c r="AN121" s="9"/>
      <c r="AO121" s="2"/>
      <c r="AP121" s="2"/>
      <c r="AQ121" s="2"/>
      <c r="AR121" s="2"/>
    </row>
    <row r="122" spans="1:44">
      <c r="A122" s="739" t="s">
        <v>362</v>
      </c>
      <c r="B122" s="1111"/>
      <c r="C122" s="1111"/>
      <c r="D122" s="616"/>
      <c r="E122" s="616"/>
      <c r="F122" s="616"/>
      <c r="G122" s="616"/>
      <c r="H122" s="616"/>
      <c r="I122" s="616"/>
      <c r="J122" s="616"/>
      <c r="K122" s="616"/>
      <c r="L122" s="616"/>
      <c r="M122" s="616"/>
      <c r="N122" s="616"/>
      <c r="O122" s="616"/>
      <c r="P122" s="616"/>
      <c r="Q122" s="616"/>
      <c r="R122" s="616"/>
      <c r="S122" s="616"/>
      <c r="T122" s="616">
        <v>-72000</v>
      </c>
      <c r="U122" s="616">
        <v>-2000</v>
      </c>
      <c r="V122" s="616"/>
      <c r="W122" s="616">
        <v>-36000</v>
      </c>
      <c r="X122" s="616"/>
      <c r="Y122" s="616"/>
      <c r="Z122" s="616"/>
      <c r="AA122" s="616"/>
      <c r="AB122" s="616"/>
      <c r="AC122" s="616"/>
      <c r="AD122" s="616"/>
      <c r="AE122" s="616"/>
      <c r="AF122" s="616"/>
      <c r="AG122" s="34"/>
      <c r="AN122" s="9"/>
      <c r="AO122" s="2"/>
      <c r="AP122" s="2"/>
      <c r="AQ122" s="2"/>
      <c r="AR122" s="2"/>
    </row>
    <row r="123" spans="1:44">
      <c r="A123" s="739" t="s">
        <v>1232</v>
      </c>
      <c r="B123" s="1111"/>
      <c r="C123" s="1111"/>
      <c r="D123" s="616"/>
      <c r="E123" s="616"/>
      <c r="F123" s="616"/>
      <c r="G123" s="616"/>
      <c r="H123" s="616"/>
      <c r="I123" s="616"/>
      <c r="J123" s="616"/>
      <c r="K123" s="616"/>
      <c r="L123" s="616"/>
      <c r="M123" s="616"/>
      <c r="N123" s="616"/>
      <c r="O123" s="616"/>
      <c r="P123" s="616"/>
      <c r="Q123" s="616"/>
      <c r="R123" s="616"/>
      <c r="S123" s="616"/>
      <c r="T123" s="616">
        <v>-8000</v>
      </c>
      <c r="U123" s="616"/>
      <c r="V123" s="616"/>
      <c r="W123" s="616"/>
      <c r="X123" s="616"/>
      <c r="Y123" s="616"/>
      <c r="Z123" s="616"/>
      <c r="AA123" s="616"/>
      <c r="AB123" s="616"/>
      <c r="AC123" s="616"/>
      <c r="AD123" s="616"/>
      <c r="AE123" s="616"/>
      <c r="AF123" s="616"/>
      <c r="AG123" s="34"/>
      <c r="AN123" s="9"/>
      <c r="AO123" s="2"/>
      <c r="AP123" s="2"/>
      <c r="AQ123" s="2"/>
      <c r="AR123" s="2"/>
    </row>
    <row r="124" spans="1:44">
      <c r="A124" s="739" t="s">
        <v>1236</v>
      </c>
      <c r="B124" s="1111"/>
      <c r="C124" s="1111"/>
      <c r="D124" s="616"/>
      <c r="E124" s="616"/>
      <c r="F124" s="616"/>
      <c r="G124" s="616"/>
      <c r="H124" s="616"/>
      <c r="I124" s="616"/>
      <c r="J124" s="616"/>
      <c r="K124" s="616"/>
      <c r="L124" s="616"/>
      <c r="M124" s="616"/>
      <c r="N124" s="616"/>
      <c r="O124" s="616"/>
      <c r="P124" s="616"/>
      <c r="Q124" s="616"/>
      <c r="R124" s="616"/>
      <c r="S124" s="616">
        <v>-2000</v>
      </c>
      <c r="T124" s="616">
        <v>13000</v>
      </c>
      <c r="U124" s="616">
        <v>7000</v>
      </c>
      <c r="V124" s="616"/>
      <c r="W124" s="616"/>
      <c r="X124" s="616"/>
      <c r="Y124" s="616"/>
      <c r="Z124" s="616"/>
      <c r="AA124" s="616"/>
      <c r="AB124" s="616"/>
      <c r="AC124" s="616"/>
      <c r="AD124" s="616"/>
      <c r="AE124" s="616"/>
      <c r="AF124" s="616"/>
      <c r="AG124" s="34"/>
      <c r="AN124" s="9"/>
      <c r="AO124" s="2"/>
      <c r="AP124" s="2"/>
      <c r="AQ124" s="2"/>
      <c r="AR124" s="2"/>
    </row>
    <row r="125" spans="1:44">
      <c r="A125" s="739" t="s">
        <v>1191</v>
      </c>
      <c r="B125" s="1111"/>
      <c r="C125" s="1111"/>
      <c r="D125" s="616"/>
      <c r="E125" s="616"/>
      <c r="F125" s="616"/>
      <c r="G125" s="616"/>
      <c r="H125" s="616"/>
      <c r="I125" s="616"/>
      <c r="J125" s="616"/>
      <c r="K125" s="616"/>
      <c r="L125" s="616"/>
      <c r="M125" s="616"/>
      <c r="N125" s="616"/>
      <c r="O125" s="616"/>
      <c r="P125" s="616"/>
      <c r="Q125" s="616"/>
      <c r="R125" s="616"/>
      <c r="S125" s="616">
        <v>-5000</v>
      </c>
      <c r="T125" s="616">
        <v>-4000</v>
      </c>
      <c r="U125" s="616">
        <v>-11000</v>
      </c>
      <c r="V125" s="616">
        <v>-24000</v>
      </c>
      <c r="W125" s="616">
        <v>-10000</v>
      </c>
      <c r="X125" s="616">
        <v>-7000</v>
      </c>
      <c r="Y125" s="616"/>
      <c r="Z125" s="616"/>
      <c r="AA125" s="616"/>
      <c r="AB125" s="616"/>
      <c r="AC125" s="616"/>
      <c r="AD125" s="616"/>
      <c r="AE125" s="616"/>
      <c r="AF125" s="616"/>
      <c r="AG125" s="34"/>
      <c r="AN125" s="9"/>
      <c r="AO125" s="2"/>
      <c r="AP125" s="2"/>
      <c r="AQ125" s="2"/>
      <c r="AR125" s="2"/>
    </row>
    <row r="126" spans="1:44">
      <c r="A126" s="739" t="s">
        <v>1200</v>
      </c>
      <c r="B126" s="1111"/>
      <c r="C126" s="1111"/>
      <c r="D126" s="616"/>
      <c r="E126" s="616"/>
      <c r="F126" s="616"/>
      <c r="G126" s="616"/>
      <c r="H126" s="616"/>
      <c r="I126" s="616"/>
      <c r="J126" s="616"/>
      <c r="K126" s="616"/>
      <c r="L126" s="616"/>
      <c r="M126" s="616"/>
      <c r="N126" s="616"/>
      <c r="O126" s="616"/>
      <c r="P126" s="616"/>
      <c r="Q126" s="616"/>
      <c r="R126" s="616"/>
      <c r="S126" s="616"/>
      <c r="T126" s="616"/>
      <c r="U126" s="616"/>
      <c r="V126" s="616"/>
      <c r="W126" s="616"/>
      <c r="X126" s="616">
        <v>-5000</v>
      </c>
      <c r="Y126" s="616"/>
      <c r="Z126" s="616">
        <v>2000</v>
      </c>
      <c r="AA126" s="616">
        <v>-5000</v>
      </c>
      <c r="AB126" s="616"/>
      <c r="AC126" s="616"/>
      <c r="AD126" s="616"/>
      <c r="AE126" s="616"/>
      <c r="AF126" s="616"/>
      <c r="AG126" s="34"/>
      <c r="AN126" s="9"/>
      <c r="AO126" s="2"/>
      <c r="AP126" s="2"/>
      <c r="AQ126" s="2"/>
      <c r="AR126" s="2"/>
    </row>
    <row r="127" spans="1:44">
      <c r="A127" s="739" t="s">
        <v>1233</v>
      </c>
      <c r="B127" s="1111"/>
      <c r="C127" s="1111"/>
      <c r="D127" s="616"/>
      <c r="E127" s="616"/>
      <c r="F127" s="616"/>
      <c r="G127" s="616"/>
      <c r="H127" s="616"/>
      <c r="I127" s="616"/>
      <c r="J127" s="616"/>
      <c r="K127" s="616"/>
      <c r="L127" s="616"/>
      <c r="M127" s="616"/>
      <c r="N127" s="616"/>
      <c r="O127" s="616"/>
      <c r="P127" s="616"/>
      <c r="Q127" s="616"/>
      <c r="R127" s="616"/>
      <c r="S127" s="616">
        <v>28000</v>
      </c>
      <c r="T127" s="616"/>
      <c r="U127" s="616"/>
      <c r="V127" s="616"/>
      <c r="W127" s="616"/>
      <c r="X127" s="616"/>
      <c r="Y127" s="616"/>
      <c r="Z127" s="616"/>
      <c r="AA127" s="616"/>
      <c r="AB127" s="616"/>
      <c r="AC127" s="616"/>
      <c r="AD127" s="616"/>
      <c r="AE127" s="616"/>
      <c r="AF127" s="616"/>
      <c r="AG127" s="34"/>
      <c r="AN127" s="9"/>
      <c r="AO127" s="2"/>
      <c r="AP127" s="2"/>
      <c r="AQ127" s="2"/>
      <c r="AR127" s="2"/>
    </row>
    <row r="128" spans="1:44">
      <c r="A128" s="739" t="s">
        <v>1237</v>
      </c>
      <c r="B128" s="1111"/>
      <c r="C128" s="1111"/>
      <c r="D128" s="616"/>
      <c r="E128" s="616"/>
      <c r="F128" s="616"/>
      <c r="G128" s="616"/>
      <c r="H128" s="616"/>
      <c r="I128" s="616"/>
      <c r="J128" s="616"/>
      <c r="K128" s="616"/>
      <c r="L128" s="616"/>
      <c r="M128" s="616"/>
      <c r="N128" s="616"/>
      <c r="O128" s="616"/>
      <c r="P128" s="616"/>
      <c r="Q128" s="616"/>
      <c r="R128" s="616"/>
      <c r="S128" s="616"/>
      <c r="T128" s="616"/>
      <c r="U128" s="616"/>
      <c r="V128" s="616">
        <v>16000</v>
      </c>
      <c r="W128" s="616">
        <v>4000</v>
      </c>
      <c r="X128" s="616"/>
      <c r="Y128" s="616"/>
      <c r="Z128" s="616"/>
      <c r="AA128" s="616"/>
      <c r="AB128" s="616"/>
      <c r="AC128" s="616"/>
      <c r="AD128" s="616"/>
      <c r="AE128" s="616"/>
      <c r="AF128" s="616"/>
      <c r="AG128" s="34"/>
      <c r="AN128" s="9"/>
      <c r="AO128" s="2"/>
      <c r="AP128" s="2"/>
      <c r="AQ128" s="2"/>
      <c r="AR128" s="2"/>
    </row>
    <row r="129" spans="1:44">
      <c r="A129" s="739" t="s">
        <v>1179</v>
      </c>
      <c r="B129" s="1111"/>
      <c r="C129" s="1111"/>
      <c r="D129" s="616"/>
      <c r="E129" s="616"/>
      <c r="F129" s="616"/>
      <c r="G129" s="616"/>
      <c r="H129" s="616"/>
      <c r="I129" s="616"/>
      <c r="J129" s="616"/>
      <c r="K129" s="616"/>
      <c r="L129" s="616"/>
      <c r="M129" s="616"/>
      <c r="N129" s="616"/>
      <c r="O129" s="616"/>
      <c r="P129" s="616"/>
      <c r="Q129" s="616"/>
      <c r="R129" s="616"/>
      <c r="S129" s="702"/>
      <c r="T129" s="702"/>
      <c r="U129" s="702"/>
      <c r="V129" s="702">
        <v>17000</v>
      </c>
      <c r="W129" s="702">
        <v>100000</v>
      </c>
      <c r="X129" s="702">
        <v>-2000</v>
      </c>
      <c r="Y129" s="702">
        <v>-1000</v>
      </c>
      <c r="Z129" s="702">
        <v>-5000</v>
      </c>
      <c r="AA129" s="702">
        <v>1000</v>
      </c>
      <c r="AB129" s="702"/>
      <c r="AC129" s="616"/>
      <c r="AD129" s="616"/>
      <c r="AE129" s="616"/>
      <c r="AF129" s="616"/>
      <c r="AG129" s="34"/>
      <c r="AN129" s="9"/>
      <c r="AO129" s="2"/>
      <c r="AP129" s="2"/>
      <c r="AQ129" s="2"/>
      <c r="AR129" s="2"/>
    </row>
    <row r="130" spans="1:44">
      <c r="A130" s="739" t="s">
        <v>1258</v>
      </c>
      <c r="B130" s="1111"/>
      <c r="C130" s="1111"/>
      <c r="D130" s="616"/>
      <c r="E130" s="616"/>
      <c r="F130" s="616"/>
      <c r="G130" s="616"/>
      <c r="H130" s="616"/>
      <c r="I130" s="616"/>
      <c r="J130" s="616"/>
      <c r="K130" s="616"/>
      <c r="L130" s="616"/>
      <c r="M130" s="616"/>
      <c r="N130" s="616"/>
      <c r="O130" s="616"/>
      <c r="P130" s="616"/>
      <c r="Q130" s="616"/>
      <c r="R130" s="616"/>
      <c r="S130" s="616">
        <v>21000</v>
      </c>
      <c r="T130" s="616">
        <v>-28000</v>
      </c>
      <c r="U130" s="616">
        <v>1000</v>
      </c>
      <c r="V130" s="616">
        <v>9000</v>
      </c>
      <c r="W130" s="616">
        <v>-202000</v>
      </c>
      <c r="X130" s="616">
        <v>-14000</v>
      </c>
      <c r="Y130" s="616">
        <v>-1000</v>
      </c>
      <c r="Z130" s="616">
        <v>2000</v>
      </c>
      <c r="AA130" s="616">
        <v>-4000</v>
      </c>
      <c r="AB130" s="616">
        <v>0</v>
      </c>
      <c r="AC130" s="616"/>
      <c r="AD130" s="616"/>
      <c r="AE130" s="616"/>
      <c r="AF130" s="616"/>
      <c r="AG130" s="34"/>
      <c r="AN130" s="9"/>
      <c r="AO130" s="2"/>
      <c r="AP130" s="2"/>
      <c r="AQ130" s="2"/>
      <c r="AR130" s="2"/>
    </row>
    <row r="131" spans="1:44">
      <c r="A131" s="34"/>
      <c r="B131" s="616"/>
      <c r="C131" s="616"/>
      <c r="D131" s="616"/>
      <c r="E131" s="616"/>
      <c r="F131" s="616"/>
      <c r="G131" s="616"/>
      <c r="H131" s="616"/>
      <c r="I131" s="616"/>
      <c r="J131" s="616"/>
      <c r="K131" s="616"/>
      <c r="L131" s="616"/>
      <c r="M131" s="616"/>
      <c r="N131" s="616"/>
      <c r="O131" s="616"/>
      <c r="P131" s="616"/>
      <c r="Q131" s="616"/>
      <c r="R131" s="616"/>
      <c r="S131" s="616"/>
      <c r="T131" s="616"/>
      <c r="U131" s="616"/>
      <c r="V131" s="616"/>
      <c r="W131" s="616"/>
      <c r="X131" s="616"/>
      <c r="Y131" s="616"/>
      <c r="Z131" s="616"/>
      <c r="AA131" s="616"/>
      <c r="AB131" s="616"/>
      <c r="AC131" s="616"/>
      <c r="AD131" s="616"/>
      <c r="AE131" s="616"/>
      <c r="AF131" s="616"/>
      <c r="AG131" s="34"/>
      <c r="AN131" s="9"/>
      <c r="AO131" s="2"/>
      <c r="AP131" s="2"/>
      <c r="AQ131" s="2"/>
      <c r="AR131" s="2"/>
    </row>
    <row r="132" spans="1:44">
      <c r="A132" s="613" t="s">
        <v>1258</v>
      </c>
      <c r="B132" s="616"/>
      <c r="C132" s="616"/>
      <c r="D132" s="616"/>
      <c r="E132" s="616"/>
      <c r="F132" s="616"/>
      <c r="G132" s="616"/>
      <c r="H132" s="616"/>
      <c r="I132" s="616"/>
      <c r="J132" s="616"/>
      <c r="K132" s="616"/>
      <c r="L132" s="616"/>
      <c r="M132" s="616"/>
      <c r="N132" s="616"/>
      <c r="O132" s="616"/>
      <c r="P132" s="616"/>
      <c r="Q132" s="616"/>
      <c r="R132" s="616"/>
      <c r="S132" s="616">
        <v>21000</v>
      </c>
      <c r="T132" s="616">
        <v>-28000</v>
      </c>
      <c r="U132" s="616">
        <v>1000</v>
      </c>
      <c r="V132" s="616">
        <v>26000</v>
      </c>
      <c r="W132" s="616">
        <v>-102000</v>
      </c>
      <c r="X132" s="616">
        <v>-16000</v>
      </c>
      <c r="Y132" s="616">
        <v>-2000</v>
      </c>
      <c r="Z132" s="616">
        <v>-3000</v>
      </c>
      <c r="AA132" s="616">
        <v>-3000</v>
      </c>
      <c r="AB132" s="616">
        <v>0</v>
      </c>
      <c r="AC132" s="616"/>
      <c r="AD132" s="616"/>
      <c r="AE132" s="616"/>
      <c r="AF132" s="616"/>
      <c r="AG132" s="34"/>
      <c r="AN132" s="9"/>
      <c r="AO132" s="2"/>
      <c r="AP132" s="2"/>
      <c r="AQ132" s="2"/>
      <c r="AR132" s="2"/>
    </row>
    <row r="133" spans="1:44">
      <c r="A133" s="739" t="s">
        <v>1259</v>
      </c>
      <c r="B133" s="616"/>
      <c r="C133" s="616"/>
      <c r="D133" s="616"/>
      <c r="E133" s="616"/>
      <c r="F133" s="616"/>
      <c r="G133" s="616"/>
      <c r="H133" s="616"/>
      <c r="I133" s="616"/>
      <c r="J133" s="616"/>
      <c r="K133" s="616"/>
      <c r="L133" s="616"/>
      <c r="M133" s="616"/>
      <c r="N133" s="616"/>
      <c r="O133" s="616"/>
      <c r="P133" s="616"/>
      <c r="Q133" s="616"/>
      <c r="R133" s="616"/>
      <c r="S133" s="702">
        <v>0</v>
      </c>
      <c r="T133" s="702">
        <v>0</v>
      </c>
      <c r="U133" s="702">
        <v>0</v>
      </c>
      <c r="V133" s="702">
        <v>17000</v>
      </c>
      <c r="W133" s="702">
        <v>100000</v>
      </c>
      <c r="X133" s="702">
        <v>-2000</v>
      </c>
      <c r="Y133" s="702">
        <v>-1000</v>
      </c>
      <c r="Z133" s="702">
        <v>-5000</v>
      </c>
      <c r="AA133" s="702">
        <v>1000</v>
      </c>
      <c r="AB133" s="702"/>
      <c r="AC133" s="616"/>
      <c r="AD133" s="616"/>
      <c r="AE133" s="616"/>
      <c r="AF133" s="616"/>
      <c r="AG133" s="34"/>
      <c r="AN133" s="9"/>
      <c r="AO133" s="2"/>
      <c r="AP133" s="2"/>
      <c r="AQ133" s="2"/>
      <c r="AR133" s="2"/>
    </row>
    <row r="134" spans="1:44" ht="13.5" thickBot="1">
      <c r="A134" s="613" t="s">
        <v>1260</v>
      </c>
      <c r="B134" s="616"/>
      <c r="C134" s="616"/>
      <c r="D134" s="616"/>
      <c r="E134" s="616"/>
      <c r="F134" s="616"/>
      <c r="G134" s="616"/>
      <c r="H134" s="616"/>
      <c r="I134" s="616"/>
      <c r="J134" s="616"/>
      <c r="K134" s="616"/>
      <c r="L134" s="616"/>
      <c r="M134" s="616"/>
      <c r="N134" s="616"/>
      <c r="O134" s="616"/>
      <c r="P134" s="616"/>
      <c r="Q134" s="616"/>
      <c r="R134" s="616"/>
      <c r="S134" s="725">
        <v>21000</v>
      </c>
      <c r="T134" s="725">
        <v>-28000</v>
      </c>
      <c r="U134" s="725">
        <v>1000</v>
      </c>
      <c r="V134" s="725">
        <v>9000</v>
      </c>
      <c r="W134" s="725">
        <v>-202000</v>
      </c>
      <c r="X134" s="725">
        <v>-14000</v>
      </c>
      <c r="Y134" s="725">
        <v>-1000</v>
      </c>
      <c r="Z134" s="725">
        <v>2000</v>
      </c>
      <c r="AA134" s="725">
        <v>-4000</v>
      </c>
      <c r="AB134" s="725">
        <v>0</v>
      </c>
      <c r="AC134" s="616"/>
      <c r="AD134" s="616"/>
      <c r="AE134" s="616"/>
      <c r="AF134" s="616"/>
      <c r="AG134" s="34"/>
      <c r="AN134" s="9"/>
      <c r="AO134" s="2"/>
      <c r="AP134" s="2"/>
      <c r="AQ134" s="2"/>
      <c r="AR134" s="2"/>
    </row>
    <row r="135" spans="1:44" ht="13.5" thickTop="1">
      <c r="A135" s="616"/>
      <c r="B135" s="616"/>
      <c r="C135" s="616"/>
      <c r="D135" s="616"/>
      <c r="E135" s="616"/>
      <c r="F135" s="616"/>
      <c r="G135" s="616"/>
      <c r="H135" s="616"/>
      <c r="I135" s="616"/>
      <c r="J135" s="616"/>
      <c r="K135" s="616"/>
      <c r="L135" s="616"/>
      <c r="M135" s="616"/>
      <c r="N135" s="616"/>
      <c r="O135" s="616"/>
      <c r="P135" s="616"/>
      <c r="Q135" s="616"/>
      <c r="R135" s="616"/>
      <c r="S135" s="616"/>
      <c r="T135" s="616"/>
      <c r="U135" s="616"/>
      <c r="V135" s="616"/>
      <c r="W135" s="616"/>
      <c r="X135" s="616"/>
      <c r="Y135" s="616"/>
      <c r="Z135" s="616"/>
      <c r="AA135" s="616"/>
      <c r="AB135" s="616"/>
      <c r="AC135" s="616"/>
      <c r="AD135" s="616"/>
      <c r="AE135" s="616"/>
      <c r="AF135" s="616"/>
      <c r="AG135" s="34"/>
      <c r="AN135" s="9"/>
      <c r="AO135" s="2"/>
      <c r="AP135" s="2"/>
      <c r="AQ135" s="2"/>
      <c r="AR135" s="2"/>
    </row>
    <row r="136" spans="1:44" ht="12.75" customHeight="1">
      <c r="A136" s="996" t="s">
        <v>1398</v>
      </c>
      <c r="B136" s="995"/>
      <c r="C136" s="996"/>
      <c r="D136" s="996"/>
      <c r="E136" s="1206"/>
      <c r="F136" s="693"/>
      <c r="G136" s="693"/>
      <c r="H136" s="693"/>
      <c r="I136" s="693"/>
      <c r="J136" s="693"/>
      <c r="K136" s="693"/>
      <c r="L136" s="693"/>
      <c r="M136" s="693"/>
      <c r="N136" s="693"/>
      <c r="O136" s="693"/>
      <c r="P136" s="693"/>
      <c r="Q136" s="693"/>
      <c r="R136" s="693"/>
      <c r="S136" s="693"/>
      <c r="T136" s="693"/>
      <c r="U136" s="693"/>
      <c r="V136" s="693"/>
      <c r="W136" s="693"/>
      <c r="X136" s="693"/>
      <c r="Y136" s="693"/>
      <c r="Z136" s="693"/>
      <c r="AA136" s="693"/>
      <c r="AB136" s="693"/>
      <c r="AC136" s="1504"/>
      <c r="AD136" s="1504"/>
      <c r="AE136" s="616"/>
      <c r="AF136" s="616"/>
      <c r="AG136" s="34"/>
      <c r="AN136" s="9"/>
      <c r="AO136" s="2"/>
      <c r="AP136" s="2"/>
      <c r="AQ136" s="2"/>
      <c r="AR136" s="2"/>
    </row>
    <row r="137" spans="1:44" ht="12.75" customHeight="1">
      <c r="A137" s="1421" t="s">
        <v>1400</v>
      </c>
      <c r="B137" s="1213"/>
      <c r="C137" s="1271"/>
      <c r="F137" s="693"/>
      <c r="G137" s="693"/>
      <c r="H137" s="693"/>
      <c r="I137" s="693"/>
      <c r="J137" s="693"/>
      <c r="K137" s="693"/>
      <c r="L137" s="693"/>
      <c r="M137" s="693"/>
      <c r="N137" s="693"/>
      <c r="O137" s="693"/>
      <c r="P137" s="693"/>
      <c r="Q137" s="693"/>
      <c r="R137" s="693"/>
      <c r="S137" s="693"/>
      <c r="T137" s="693"/>
      <c r="U137" s="693"/>
      <c r="V137" s="693"/>
      <c r="W137" s="693"/>
      <c r="X137" s="693"/>
      <c r="Y137" s="693"/>
      <c r="Z137" s="693"/>
      <c r="AA137" s="693"/>
      <c r="AB137" s="693"/>
      <c r="AC137" s="1504"/>
      <c r="AD137" s="1504"/>
      <c r="AE137" s="616"/>
      <c r="AF137" s="616"/>
      <c r="AG137" s="34"/>
      <c r="AN137" s="9"/>
      <c r="AO137" s="2"/>
      <c r="AP137" s="2"/>
      <c r="AQ137" s="2"/>
      <c r="AR137" s="2"/>
    </row>
    <row r="138" spans="1:44" ht="12.75" customHeight="1">
      <c r="A138" s="1256" t="s">
        <v>1240</v>
      </c>
      <c r="B138" s="1213"/>
      <c r="C138" s="1271"/>
      <c r="F138" s="616"/>
      <c r="G138" s="616"/>
      <c r="H138" s="616"/>
      <c r="I138" s="616"/>
      <c r="J138" s="616"/>
      <c r="K138" s="616"/>
      <c r="L138" s="616"/>
      <c r="M138" s="616"/>
      <c r="N138" s="616"/>
      <c r="O138" s="616"/>
      <c r="P138" s="616"/>
      <c r="Q138" s="616"/>
      <c r="R138" s="616"/>
      <c r="S138" s="616"/>
      <c r="T138" s="616"/>
      <c r="U138" s="616"/>
      <c r="V138" s="616"/>
      <c r="W138" s="616"/>
      <c r="X138" s="616"/>
      <c r="Y138" s="616"/>
      <c r="Z138" s="1419">
        <v>5000</v>
      </c>
      <c r="AA138" s="616"/>
      <c r="AB138" s="616"/>
      <c r="AC138" s="1504"/>
      <c r="AD138" s="1504"/>
      <c r="AF138" s="616"/>
      <c r="AG138" s="34"/>
      <c r="AN138" s="9"/>
      <c r="AO138" s="2"/>
      <c r="AP138" s="2"/>
      <c r="AQ138" s="2"/>
      <c r="AR138" s="2"/>
    </row>
    <row r="139" spans="1:44">
      <c r="A139" s="1256" t="s">
        <v>1235</v>
      </c>
      <c r="B139" s="1111"/>
      <c r="C139" s="1111"/>
      <c r="F139" s="616"/>
      <c r="G139" s="616"/>
      <c r="H139" s="616"/>
      <c r="I139" s="616"/>
      <c r="J139" s="616"/>
      <c r="K139" s="616"/>
      <c r="L139" s="616"/>
      <c r="M139" s="616"/>
      <c r="N139" s="616"/>
      <c r="O139" s="616"/>
      <c r="P139" s="616"/>
      <c r="Q139" s="616"/>
      <c r="R139" s="616"/>
      <c r="S139" s="616"/>
      <c r="T139" s="616"/>
      <c r="U139" s="616">
        <v>7000</v>
      </c>
      <c r="V139" s="616"/>
      <c r="W139" s="616"/>
      <c r="X139" s="616"/>
      <c r="Y139" s="616"/>
      <c r="Z139" s="1420" t="s">
        <v>1362</v>
      </c>
      <c r="AA139" s="616"/>
      <c r="AB139" s="616"/>
      <c r="AC139" s="694"/>
      <c r="AF139" s="616"/>
      <c r="AG139" s="34"/>
      <c r="AN139" s="9"/>
      <c r="AO139" s="2"/>
      <c r="AP139" s="2"/>
      <c r="AQ139" s="2"/>
      <c r="AR139" s="2"/>
    </row>
    <row r="140" spans="1:44">
      <c r="A140" s="1256" t="s">
        <v>1234</v>
      </c>
      <c r="D140" s="616"/>
      <c r="F140" s="616"/>
      <c r="G140" s="616"/>
      <c r="H140" s="616"/>
      <c r="I140" s="616"/>
      <c r="J140" s="616"/>
      <c r="K140" s="616"/>
      <c r="L140" s="616"/>
      <c r="M140" s="616"/>
      <c r="N140" s="616"/>
      <c r="O140" s="616"/>
      <c r="P140" s="616"/>
      <c r="Q140" s="616"/>
      <c r="R140" s="616"/>
      <c r="S140" s="616"/>
      <c r="T140" s="616">
        <v>26000</v>
      </c>
      <c r="U140" s="616"/>
      <c r="V140" s="616"/>
      <c r="W140" s="616"/>
      <c r="X140" s="616"/>
      <c r="Y140" s="616"/>
      <c r="Z140" s="616"/>
      <c r="AA140" s="616"/>
      <c r="AB140" s="616"/>
      <c r="AC140" s="694"/>
      <c r="AF140" s="616"/>
      <c r="AG140" s="34"/>
      <c r="AN140" s="9"/>
      <c r="AO140" s="2"/>
      <c r="AP140" s="2"/>
      <c r="AQ140" s="2"/>
      <c r="AR140" s="2"/>
    </row>
    <row r="141" spans="1:44">
      <c r="A141" s="1256" t="s">
        <v>1192</v>
      </c>
      <c r="D141" s="616"/>
      <c r="F141" s="616"/>
      <c r="G141" s="616"/>
      <c r="H141" s="616"/>
      <c r="I141" s="616"/>
      <c r="J141" s="616"/>
      <c r="K141" s="616"/>
      <c r="L141" s="616"/>
      <c r="M141" s="616"/>
      <c r="N141" s="616"/>
      <c r="O141" s="616"/>
      <c r="P141" s="616"/>
      <c r="Q141" s="616"/>
      <c r="R141" s="616"/>
      <c r="S141" s="616"/>
      <c r="T141" s="616"/>
      <c r="U141" s="616"/>
      <c r="V141" s="616"/>
      <c r="W141" s="616">
        <v>-43000</v>
      </c>
      <c r="X141" s="616"/>
      <c r="Y141" s="616"/>
      <c r="Z141" s="616"/>
      <c r="AA141" s="616"/>
      <c r="AB141" s="616"/>
      <c r="AC141" s="694"/>
      <c r="AD141" s="616"/>
      <c r="AE141" s="616"/>
      <c r="AF141" s="616"/>
      <c r="AG141" s="34"/>
      <c r="AN141" s="9"/>
      <c r="AO141" s="2"/>
      <c r="AP141" s="2"/>
      <c r="AQ141" s="2"/>
      <c r="AR141" s="2"/>
    </row>
    <row r="142" spans="1:44">
      <c r="A142" s="739" t="s">
        <v>1386</v>
      </c>
      <c r="B142" s="1111"/>
      <c r="D142" s="616"/>
      <c r="F142" s="616"/>
      <c r="G142" s="616"/>
      <c r="H142" s="616"/>
      <c r="I142" s="616"/>
      <c r="J142" s="616"/>
      <c r="K142" s="616"/>
      <c r="L142" s="616"/>
      <c r="M142" s="616"/>
      <c r="N142" s="616"/>
      <c r="O142" s="616"/>
      <c r="P142" s="616"/>
      <c r="Q142" s="616"/>
      <c r="R142" s="616"/>
      <c r="S142" s="616"/>
      <c r="T142" s="616">
        <v>17000</v>
      </c>
      <c r="U142" s="616"/>
      <c r="V142" s="616"/>
      <c r="W142" s="616">
        <v>-217000</v>
      </c>
      <c r="X142" s="616"/>
      <c r="Y142" s="616"/>
      <c r="Z142" s="616"/>
      <c r="AA142" s="616"/>
      <c r="AB142" s="616"/>
      <c r="AC142" s="694"/>
      <c r="AD142" s="616"/>
      <c r="AE142" s="616"/>
      <c r="AF142" s="616"/>
      <c r="AG142" s="34"/>
      <c r="AN142" s="9"/>
      <c r="AO142" s="2"/>
      <c r="AP142" s="2"/>
      <c r="AQ142" s="2"/>
      <c r="AR142" s="2"/>
    </row>
    <row r="143" spans="1:44">
      <c r="A143" s="1256" t="s">
        <v>362</v>
      </c>
      <c r="B143" s="1111"/>
      <c r="C143" s="1111"/>
      <c r="D143" s="616"/>
      <c r="F143" s="616"/>
      <c r="G143" s="616"/>
      <c r="H143" s="616"/>
      <c r="I143" s="616"/>
      <c r="J143" s="616"/>
      <c r="K143" s="616"/>
      <c r="L143" s="616"/>
      <c r="M143" s="616"/>
      <c r="N143" s="616"/>
      <c r="O143" s="616"/>
      <c r="P143" s="616"/>
      <c r="Q143" s="616"/>
      <c r="R143" s="616"/>
      <c r="S143" s="616"/>
      <c r="T143" s="616">
        <v>-72000</v>
      </c>
      <c r="U143" s="616">
        <v>-2000</v>
      </c>
      <c r="V143" s="616"/>
      <c r="W143" s="616">
        <v>-36000</v>
      </c>
      <c r="X143" s="616"/>
      <c r="Y143" s="616"/>
      <c r="Z143" s="616"/>
      <c r="AA143" s="616"/>
      <c r="AB143" s="616"/>
      <c r="AC143" s="694"/>
      <c r="AD143" s="616"/>
      <c r="AE143" s="616"/>
      <c r="AF143" s="616"/>
      <c r="AG143" s="34"/>
      <c r="AN143" s="9"/>
      <c r="AO143" s="2"/>
      <c r="AP143" s="2"/>
      <c r="AQ143" s="2"/>
      <c r="AR143" s="2"/>
    </row>
    <row r="144" spans="1:44">
      <c r="A144" s="1256" t="s">
        <v>1232</v>
      </c>
      <c r="B144" s="1111"/>
      <c r="C144" s="1111"/>
      <c r="D144" s="616"/>
      <c r="F144" s="616"/>
      <c r="G144" s="616"/>
      <c r="H144" s="616"/>
      <c r="I144" s="616"/>
      <c r="J144" s="616"/>
      <c r="K144" s="616"/>
      <c r="L144" s="616"/>
      <c r="M144" s="616"/>
      <c r="N144" s="616"/>
      <c r="O144" s="616"/>
      <c r="P144" s="616"/>
      <c r="Q144" s="616"/>
      <c r="R144" s="616"/>
      <c r="S144" s="616"/>
      <c r="T144" s="616">
        <v>-8000</v>
      </c>
      <c r="U144" s="616"/>
      <c r="V144" s="616"/>
      <c r="W144" s="616"/>
      <c r="X144" s="616"/>
      <c r="Y144" s="616"/>
      <c r="Z144" s="616"/>
      <c r="AA144" s="616"/>
      <c r="AB144" s="616"/>
      <c r="AC144" s="694"/>
      <c r="AD144" s="616"/>
      <c r="AE144" s="616"/>
      <c r="AF144" s="616"/>
      <c r="AG144" s="34"/>
      <c r="AN144" s="9"/>
      <c r="AO144" s="2"/>
      <c r="AP144" s="2"/>
      <c r="AQ144" s="2"/>
      <c r="AR144" s="2"/>
    </row>
    <row r="145" spans="1:44">
      <c r="A145" s="1256" t="s">
        <v>1236</v>
      </c>
      <c r="B145" s="1111"/>
      <c r="C145" s="1111"/>
      <c r="D145" s="616"/>
      <c r="F145" s="616"/>
      <c r="G145" s="616"/>
      <c r="H145" s="616"/>
      <c r="I145" s="616"/>
      <c r="J145" s="616"/>
      <c r="K145" s="616"/>
      <c r="L145" s="616"/>
      <c r="M145" s="616"/>
      <c r="N145" s="616"/>
      <c r="O145" s="616"/>
      <c r="P145" s="616"/>
      <c r="Q145" s="616"/>
      <c r="R145" s="616"/>
      <c r="S145" s="616">
        <v>-2000</v>
      </c>
      <c r="T145" s="616">
        <v>13000</v>
      </c>
      <c r="U145" s="616">
        <v>7000</v>
      </c>
      <c r="V145" s="616"/>
      <c r="W145" s="616"/>
      <c r="X145" s="616"/>
      <c r="Y145" s="616"/>
      <c r="Z145" s="616"/>
      <c r="AA145" s="616"/>
      <c r="AB145" s="616"/>
      <c r="AC145" s="694"/>
      <c r="AD145" s="616"/>
      <c r="AE145" s="616"/>
      <c r="AF145" s="616"/>
      <c r="AG145" s="34"/>
      <c r="AN145" s="9"/>
      <c r="AO145" s="2"/>
      <c r="AP145" s="2"/>
      <c r="AQ145" s="2"/>
      <c r="AR145" s="2"/>
    </row>
    <row r="146" spans="1:44">
      <c r="A146" s="1256" t="s">
        <v>1191</v>
      </c>
      <c r="B146" s="1111"/>
      <c r="C146" s="1111"/>
      <c r="D146" s="616"/>
      <c r="F146" s="616"/>
      <c r="G146" s="616"/>
      <c r="H146" s="616"/>
      <c r="I146" s="616"/>
      <c r="J146" s="616"/>
      <c r="K146" s="616"/>
      <c r="L146" s="616"/>
      <c r="M146" s="616"/>
      <c r="N146" s="616"/>
      <c r="O146" s="616"/>
      <c r="P146" s="616"/>
      <c r="Q146" s="616"/>
      <c r="R146" s="616"/>
      <c r="S146" s="616">
        <v>-5000</v>
      </c>
      <c r="T146" s="616">
        <v>-4000</v>
      </c>
      <c r="U146" s="616">
        <v>-11000</v>
      </c>
      <c r="V146" s="616">
        <v>-24000</v>
      </c>
      <c r="W146" s="616">
        <v>-10000</v>
      </c>
      <c r="X146" s="616">
        <v>-7000</v>
      </c>
      <c r="Y146" s="616"/>
      <c r="Z146" s="616"/>
      <c r="AA146" s="616"/>
      <c r="AB146" s="616"/>
      <c r="AC146" s="694"/>
      <c r="AD146" s="616"/>
      <c r="AE146" s="616"/>
      <c r="AF146" s="616"/>
      <c r="AG146" s="34"/>
      <c r="AN146" s="9"/>
      <c r="AO146" s="2"/>
      <c r="AP146" s="2"/>
      <c r="AQ146" s="2"/>
      <c r="AR146" s="2"/>
    </row>
    <row r="147" spans="1:44">
      <c r="A147" s="1256" t="s">
        <v>1200</v>
      </c>
      <c r="B147" s="1111"/>
      <c r="C147" s="1111"/>
      <c r="D147" s="616"/>
      <c r="F147" s="735"/>
      <c r="G147" s="735"/>
      <c r="H147" s="735"/>
      <c r="I147" s="735"/>
      <c r="J147" s="735"/>
      <c r="K147" s="735"/>
      <c r="L147" s="735"/>
      <c r="M147" s="735"/>
      <c r="N147" s="735"/>
      <c r="O147" s="735"/>
      <c r="P147" s="735"/>
      <c r="Q147" s="735"/>
      <c r="R147" s="616"/>
      <c r="S147" s="616"/>
      <c r="T147" s="616"/>
      <c r="U147" s="616"/>
      <c r="V147" s="616"/>
      <c r="W147" s="616"/>
      <c r="X147" s="616">
        <v>-5000</v>
      </c>
      <c r="Y147" s="616"/>
      <c r="Z147" s="616">
        <v>2000</v>
      </c>
      <c r="AA147" s="616">
        <v>-5000</v>
      </c>
      <c r="AB147" s="616"/>
      <c r="AC147" s="694"/>
      <c r="AD147" s="616"/>
      <c r="AE147" s="616"/>
      <c r="AF147" s="616"/>
      <c r="AG147" s="34"/>
      <c r="AN147" s="9"/>
      <c r="AO147" s="2"/>
      <c r="AP147" s="2"/>
      <c r="AQ147" s="2"/>
      <c r="AR147" s="2"/>
    </row>
    <row r="148" spans="1:44">
      <c r="A148" s="1256" t="s">
        <v>1233</v>
      </c>
      <c r="B148" s="1111"/>
      <c r="C148" s="1111"/>
      <c r="D148" s="616"/>
      <c r="F148" s="616"/>
      <c r="G148" s="616"/>
      <c r="H148" s="616"/>
      <c r="I148" s="616"/>
      <c r="J148" s="616"/>
      <c r="K148" s="616"/>
      <c r="L148" s="616"/>
      <c r="M148" s="616"/>
      <c r="N148" s="616"/>
      <c r="O148" s="616"/>
      <c r="P148" s="616"/>
      <c r="Q148" s="616"/>
      <c r="R148" s="616"/>
      <c r="S148" s="616">
        <v>28000</v>
      </c>
      <c r="T148" s="616"/>
      <c r="U148" s="616"/>
      <c r="V148" s="616"/>
      <c r="W148" s="616"/>
      <c r="X148" s="616"/>
      <c r="Y148" s="616"/>
      <c r="Z148" s="616"/>
      <c r="AA148" s="616"/>
      <c r="AB148" s="616"/>
      <c r="AC148" s="694"/>
      <c r="AD148" s="616"/>
      <c r="AE148" s="616"/>
      <c r="AF148" s="616"/>
      <c r="AG148" s="34"/>
      <c r="AN148" s="9"/>
      <c r="AO148" s="2"/>
      <c r="AP148" s="2"/>
      <c r="AQ148" s="2"/>
      <c r="AR148" s="2"/>
    </row>
    <row r="149" spans="1:44">
      <c r="A149" s="1256" t="s">
        <v>1237</v>
      </c>
      <c r="B149" s="1111"/>
      <c r="C149" s="1111"/>
      <c r="D149" s="616"/>
      <c r="F149" s="616"/>
      <c r="G149" s="616"/>
      <c r="H149" s="616"/>
      <c r="I149" s="616"/>
      <c r="J149" s="616"/>
      <c r="K149" s="616"/>
      <c r="L149" s="616"/>
      <c r="M149" s="616"/>
      <c r="N149" s="616"/>
      <c r="O149" s="616"/>
      <c r="P149" s="616"/>
      <c r="Q149" s="702"/>
      <c r="R149" s="702"/>
      <c r="S149" s="702"/>
      <c r="T149" s="702"/>
      <c r="U149" s="702"/>
      <c r="V149" s="702">
        <v>16000</v>
      </c>
      <c r="W149" s="702">
        <v>4000</v>
      </c>
      <c r="X149" s="702"/>
      <c r="Y149" s="702"/>
      <c r="Z149" s="702"/>
      <c r="AA149" s="702"/>
      <c r="AB149" s="702"/>
      <c r="AC149" s="694"/>
      <c r="AD149" s="616"/>
      <c r="AE149" s="616"/>
      <c r="AF149" s="616"/>
      <c r="AG149" s="34"/>
      <c r="AN149" s="9"/>
      <c r="AO149" s="2"/>
      <c r="AP149" s="2"/>
      <c r="AQ149" s="2"/>
      <c r="AR149" s="2"/>
    </row>
    <row r="150" spans="1:44">
      <c r="A150" s="1256" t="s">
        <v>1258</v>
      </c>
      <c r="B150" s="1111"/>
      <c r="C150" s="1111"/>
      <c r="D150" s="616"/>
      <c r="F150" s="616"/>
      <c r="G150" s="616"/>
      <c r="H150" s="616"/>
      <c r="I150" s="616"/>
      <c r="J150" s="616"/>
      <c r="K150" s="616"/>
      <c r="L150" s="616"/>
      <c r="M150" s="616"/>
      <c r="N150" s="616"/>
      <c r="O150" s="616"/>
      <c r="P150" s="616"/>
      <c r="Q150" s="616"/>
      <c r="R150" s="616">
        <v>0</v>
      </c>
      <c r="S150" s="616">
        <v>21000</v>
      </c>
      <c r="T150" s="616">
        <v>-28000</v>
      </c>
      <c r="U150" s="616">
        <v>1000</v>
      </c>
      <c r="V150" s="616">
        <v>-8000</v>
      </c>
      <c r="W150" s="616">
        <v>-302000</v>
      </c>
      <c r="X150" s="616">
        <v>-12000</v>
      </c>
      <c r="Y150" s="616">
        <v>0</v>
      </c>
      <c r="Z150" s="616">
        <v>7000</v>
      </c>
      <c r="AA150" s="616">
        <v>-5000</v>
      </c>
      <c r="AB150" s="616">
        <v>0</v>
      </c>
      <c r="AC150" s="694"/>
      <c r="AD150" s="616"/>
      <c r="AE150" s="616"/>
      <c r="AF150" s="616"/>
      <c r="AG150" s="34"/>
      <c r="AN150" s="9"/>
      <c r="AO150" s="2"/>
      <c r="AP150" s="2"/>
      <c r="AQ150" s="2"/>
      <c r="AR150" s="2"/>
    </row>
    <row r="151" spans="1:44">
      <c r="A151" s="1256" t="s">
        <v>1179</v>
      </c>
      <c r="B151" s="1111"/>
      <c r="C151" s="1111"/>
      <c r="D151" s="616"/>
      <c r="F151" s="616"/>
      <c r="G151" s="616"/>
      <c r="H151" s="616"/>
      <c r="I151" s="616"/>
      <c r="J151" s="616"/>
      <c r="K151" s="616"/>
      <c r="L151" s="616"/>
      <c r="M151" s="616"/>
      <c r="N151" s="616"/>
      <c r="O151" s="616"/>
      <c r="P151" s="616"/>
      <c r="Q151" s="702"/>
      <c r="R151" s="702"/>
      <c r="S151" s="702">
        <v>0</v>
      </c>
      <c r="T151" s="702">
        <v>0</v>
      </c>
      <c r="U151" s="702">
        <v>0</v>
      </c>
      <c r="V151" s="702">
        <v>17000</v>
      </c>
      <c r="W151" s="702">
        <v>100000</v>
      </c>
      <c r="X151" s="702">
        <v>-2000</v>
      </c>
      <c r="Y151" s="702">
        <v>-1000</v>
      </c>
      <c r="Z151" s="702">
        <v>-5000</v>
      </c>
      <c r="AA151" s="702">
        <v>1000</v>
      </c>
      <c r="AB151" s="702">
        <v>0</v>
      </c>
      <c r="AC151" s="694"/>
      <c r="AD151" s="616"/>
      <c r="AE151" s="616"/>
      <c r="AF151" s="616"/>
      <c r="AG151" s="34"/>
      <c r="AN151" s="9"/>
      <c r="AO151" s="2"/>
      <c r="AP151" s="2"/>
      <c r="AQ151" s="2"/>
      <c r="AR151" s="2"/>
    </row>
    <row r="152" spans="1:44">
      <c r="A152" s="1349" t="s">
        <v>1260</v>
      </c>
      <c r="B152" s="1111"/>
      <c r="C152" s="1111"/>
      <c r="D152" s="616"/>
      <c r="F152" s="616"/>
      <c r="G152" s="616"/>
      <c r="H152" s="616"/>
      <c r="I152" s="616"/>
      <c r="J152" s="616"/>
      <c r="K152" s="616"/>
      <c r="L152" s="616"/>
      <c r="M152" s="616"/>
      <c r="N152" s="616"/>
      <c r="O152" s="616"/>
      <c r="P152" s="616"/>
      <c r="Q152" s="616"/>
      <c r="R152" s="616"/>
      <c r="S152" s="616">
        <v>21000</v>
      </c>
      <c r="T152" s="616">
        <v>-28000</v>
      </c>
      <c r="U152" s="616">
        <v>1000</v>
      </c>
      <c r="V152" s="616">
        <v>9000</v>
      </c>
      <c r="W152" s="616">
        <v>-202000</v>
      </c>
      <c r="X152" s="616">
        <v>-14000</v>
      </c>
      <c r="Y152" s="616">
        <v>-1000</v>
      </c>
      <c r="Z152" s="616">
        <v>2000</v>
      </c>
      <c r="AA152" s="616">
        <v>-4000</v>
      </c>
      <c r="AB152" s="616">
        <v>0</v>
      </c>
      <c r="AC152" s="694"/>
      <c r="AD152" s="616"/>
      <c r="AE152" s="616"/>
      <c r="AF152" s="616"/>
      <c r="AG152" s="34"/>
      <c r="AN152" s="9"/>
      <c r="AO152" s="2"/>
      <c r="AP152" s="2"/>
      <c r="AQ152" s="2"/>
      <c r="AR152" s="2"/>
    </row>
    <row r="153" spans="1:44">
      <c r="A153" s="1349" t="s">
        <v>1275</v>
      </c>
      <c r="B153" s="1111"/>
      <c r="C153" s="1111"/>
      <c r="D153" s="616"/>
      <c r="F153" s="616"/>
      <c r="G153" s="616"/>
      <c r="H153" s="616"/>
      <c r="I153" s="616"/>
      <c r="J153" s="616"/>
      <c r="K153" s="616"/>
      <c r="L153" s="616"/>
      <c r="M153" s="616"/>
      <c r="N153" s="616"/>
      <c r="O153" s="616"/>
      <c r="P153" s="616"/>
      <c r="Q153" s="616"/>
      <c r="R153" s="616"/>
      <c r="S153" s="616">
        <v>21000</v>
      </c>
      <c r="T153" s="616">
        <v>-7000</v>
      </c>
      <c r="U153" s="616">
        <v>-6000</v>
      </c>
      <c r="V153" s="616">
        <v>3000</v>
      </c>
      <c r="W153" s="616">
        <v>-199000</v>
      </c>
      <c r="X153" s="616">
        <v>-213000</v>
      </c>
      <c r="Y153" s="616">
        <v>-214000</v>
      </c>
      <c r="Z153" s="616">
        <v>-212000</v>
      </c>
      <c r="AA153" s="616">
        <v>-216000</v>
      </c>
      <c r="AB153" s="616">
        <v>-216000</v>
      </c>
      <c r="AC153" s="694"/>
      <c r="AD153" s="616"/>
      <c r="AE153" s="616"/>
      <c r="AF153" s="616"/>
      <c r="AG153" s="34"/>
      <c r="AN153" s="9"/>
      <c r="AO153" s="2"/>
      <c r="AP153" s="2"/>
      <c r="AQ153" s="2"/>
      <c r="AR153" s="2"/>
    </row>
    <row r="154" spans="1:44">
      <c r="A154" s="1349"/>
      <c r="B154" s="1111"/>
      <c r="C154" s="1111"/>
      <c r="D154" s="616"/>
      <c r="F154" s="616"/>
      <c r="G154" s="616"/>
      <c r="H154" s="616"/>
      <c r="I154" s="616"/>
      <c r="J154" s="616"/>
      <c r="K154" s="616"/>
      <c r="L154" s="616"/>
      <c r="M154" s="616"/>
      <c r="N154" s="616"/>
      <c r="O154" s="616"/>
      <c r="P154" s="616"/>
      <c r="Q154" s="616"/>
      <c r="R154" s="616"/>
      <c r="S154" s="616"/>
      <c r="T154" s="616"/>
      <c r="U154" s="616"/>
      <c r="V154" s="616"/>
      <c r="W154" s="616"/>
      <c r="X154" s="616"/>
      <c r="Y154" s="616"/>
      <c r="Z154" s="616"/>
      <c r="AA154" s="616"/>
      <c r="AB154" s="616"/>
      <c r="AC154" s="694"/>
      <c r="AD154" s="616"/>
      <c r="AE154" s="616"/>
      <c r="AF154" s="616"/>
      <c r="AG154" s="34"/>
      <c r="AN154" s="9"/>
      <c r="AO154" s="2"/>
      <c r="AP154" s="2"/>
      <c r="AQ154" s="2"/>
      <c r="AR154" s="2"/>
    </row>
    <row r="155" spans="1:44">
      <c r="A155" s="996" t="s">
        <v>1284</v>
      </c>
      <c r="B155" s="996"/>
      <c r="C155" s="996"/>
      <c r="D155" s="996"/>
      <c r="E155" s="616"/>
      <c r="F155" s="616"/>
      <c r="G155" s="616"/>
      <c r="H155" s="616"/>
      <c r="I155" s="616"/>
      <c r="J155" s="616"/>
      <c r="K155" s="616"/>
      <c r="L155" s="616"/>
      <c r="M155" s="616"/>
      <c r="N155" s="616"/>
      <c r="O155" s="616"/>
      <c r="P155" s="616"/>
      <c r="Q155" s="616"/>
      <c r="R155" s="616"/>
      <c r="S155" s="616"/>
      <c r="T155" s="616"/>
      <c r="U155" s="616"/>
      <c r="V155" s="616"/>
      <c r="W155" s="616"/>
      <c r="X155" s="616"/>
      <c r="Y155" s="616"/>
      <c r="Z155" s="616"/>
      <c r="AA155" s="616"/>
      <c r="AB155" s="616"/>
      <c r="AC155" s="694"/>
      <c r="AD155" s="616"/>
      <c r="AE155" s="616"/>
      <c r="AF155" s="616"/>
      <c r="AG155" s="34"/>
      <c r="AN155" s="9"/>
      <c r="AO155" s="2"/>
      <c r="AP155" s="2"/>
      <c r="AQ155" s="2"/>
      <c r="AR155" s="2"/>
    </row>
    <row r="156" spans="1:44">
      <c r="A156" s="1111" t="s">
        <v>1178</v>
      </c>
      <c r="C156" s="34"/>
      <c r="D156" s="616"/>
      <c r="F156" s="616" t="e">
        <v>#REF!</v>
      </c>
      <c r="G156" s="616" t="e">
        <v>#REF!</v>
      </c>
      <c r="H156" s="616" t="e">
        <v>#REF!</v>
      </c>
      <c r="I156" s="616" t="e">
        <v>#REF!</v>
      </c>
      <c r="J156" s="616" t="e">
        <v>#REF!</v>
      </c>
      <c r="K156" s="616" t="e">
        <v>#REF!</v>
      </c>
      <c r="L156" s="616" t="e">
        <v>#REF!</v>
      </c>
      <c r="M156" s="726" t="e">
        <v>#REF!</v>
      </c>
      <c r="N156" s="616">
        <v>0</v>
      </c>
      <c r="O156" s="616">
        <v>0</v>
      </c>
      <c r="P156" s="616">
        <v>0</v>
      </c>
      <c r="Q156" s="616">
        <v>0</v>
      </c>
      <c r="R156" s="616"/>
      <c r="S156" s="616">
        <v>21000</v>
      </c>
      <c r="T156" s="616">
        <v>-28000</v>
      </c>
      <c r="U156" s="616">
        <v>1000</v>
      </c>
      <c r="V156" s="616">
        <v>-24000</v>
      </c>
      <c r="W156" s="616">
        <v>-10000</v>
      </c>
      <c r="X156" s="616">
        <v>-12000</v>
      </c>
      <c r="Y156" s="616">
        <v>3000</v>
      </c>
      <c r="Z156" s="616"/>
      <c r="AA156" s="616"/>
      <c r="AB156" s="616"/>
      <c r="AC156" s="694"/>
      <c r="AD156" s="616"/>
      <c r="AE156" s="616"/>
      <c r="AF156" s="616"/>
      <c r="AG156" s="34"/>
      <c r="AN156" s="9"/>
      <c r="AO156" s="2"/>
      <c r="AP156" s="2"/>
      <c r="AQ156" s="2"/>
      <c r="AR156" s="2"/>
    </row>
    <row r="157" spans="1:44">
      <c r="A157" s="739" t="s">
        <v>1273</v>
      </c>
      <c r="C157" s="34"/>
      <c r="D157" s="616"/>
      <c r="F157" s="616"/>
      <c r="G157" s="616"/>
      <c r="H157" s="616"/>
      <c r="I157" s="616"/>
      <c r="J157" s="616"/>
      <c r="K157" s="616"/>
      <c r="L157" s="616"/>
      <c r="M157" s="726"/>
      <c r="N157" s="616"/>
      <c r="O157" s="616"/>
      <c r="P157" s="616"/>
      <c r="Q157" s="616"/>
      <c r="R157" s="616"/>
      <c r="S157" s="616"/>
      <c r="T157" s="616"/>
      <c r="U157" s="616"/>
      <c r="V157" s="616"/>
      <c r="W157" s="616">
        <v>-217000</v>
      </c>
      <c r="X157" s="616"/>
      <c r="Y157" s="616"/>
      <c r="Z157" s="616"/>
      <c r="AA157" s="616"/>
      <c r="AB157" s="616"/>
      <c r="AC157" s="694"/>
      <c r="AD157" s="616"/>
      <c r="AE157" s="616"/>
      <c r="AF157" s="616"/>
      <c r="AG157" s="34"/>
      <c r="AN157" s="9"/>
      <c r="AO157" s="2"/>
      <c r="AP157" s="2"/>
      <c r="AQ157" s="2"/>
      <c r="AR157" s="2"/>
    </row>
    <row r="158" spans="1:44">
      <c r="A158" s="739" t="s">
        <v>1207</v>
      </c>
      <c r="C158" s="34"/>
      <c r="D158" s="616"/>
      <c r="F158" s="616"/>
      <c r="G158" s="616"/>
      <c r="H158" s="616"/>
      <c r="I158" s="616"/>
      <c r="J158" s="616"/>
      <c r="K158" s="616"/>
      <c r="L158" s="616"/>
      <c r="M158" s="726"/>
      <c r="N158" s="616"/>
      <c r="O158" s="616"/>
      <c r="P158" s="616"/>
      <c r="Q158" s="616"/>
      <c r="R158" s="616"/>
      <c r="S158" s="616"/>
      <c r="T158" s="616"/>
      <c r="U158" s="616"/>
      <c r="V158" s="616"/>
      <c r="W158" s="616">
        <v>-43000</v>
      </c>
      <c r="X158" s="616"/>
      <c r="Y158" s="616"/>
      <c r="Z158" s="616"/>
      <c r="AA158" s="616"/>
      <c r="AB158" s="616"/>
      <c r="AC158" s="694"/>
      <c r="AD158" s="616"/>
      <c r="AE158" s="616"/>
      <c r="AF158" s="616"/>
      <c r="AG158" s="34"/>
      <c r="AN158" s="9"/>
      <c r="AO158" s="2"/>
      <c r="AP158" s="2"/>
      <c r="AQ158" s="2"/>
      <c r="AR158" s="2"/>
    </row>
    <row r="159" spans="1:44">
      <c r="A159" s="739" t="s">
        <v>362</v>
      </c>
      <c r="C159" s="34"/>
      <c r="D159" s="616"/>
      <c r="F159" s="616"/>
      <c r="G159" s="616"/>
      <c r="H159" s="616"/>
      <c r="I159" s="616"/>
      <c r="J159" s="616"/>
      <c r="K159" s="616"/>
      <c r="L159" s="616"/>
      <c r="M159" s="726"/>
      <c r="N159" s="616"/>
      <c r="O159" s="616"/>
      <c r="P159" s="616"/>
      <c r="Q159" s="616"/>
      <c r="R159" s="616"/>
      <c r="S159" s="616"/>
      <c r="T159" s="616"/>
      <c r="U159" s="616"/>
      <c r="V159" s="616"/>
      <c r="W159" s="616">
        <v>-36000</v>
      </c>
      <c r="X159" s="616"/>
      <c r="Y159" s="616"/>
      <c r="Z159" s="616"/>
      <c r="AA159" s="616"/>
      <c r="AB159" s="616"/>
      <c r="AC159" s="694"/>
      <c r="AD159" s="616"/>
      <c r="AE159" s="616"/>
      <c r="AF159" s="616"/>
      <c r="AG159" s="34"/>
      <c r="AN159" s="9"/>
      <c r="AO159" s="2"/>
      <c r="AP159" s="2"/>
      <c r="AQ159" s="2"/>
      <c r="AR159" s="2"/>
    </row>
    <row r="160" spans="1:44">
      <c r="A160" s="739" t="s">
        <v>1198</v>
      </c>
      <c r="C160" s="34"/>
      <c r="D160" s="616"/>
      <c r="F160" s="616"/>
      <c r="G160" s="616"/>
      <c r="H160" s="616"/>
      <c r="I160" s="616"/>
      <c r="J160" s="616"/>
      <c r="K160" s="616"/>
      <c r="L160" s="616"/>
      <c r="M160" s="616"/>
      <c r="N160" s="616"/>
      <c r="O160" s="616"/>
      <c r="P160" s="616"/>
      <c r="Q160" s="616"/>
      <c r="R160" s="616"/>
      <c r="S160" s="616"/>
      <c r="T160" s="616"/>
      <c r="U160" s="616"/>
      <c r="V160" s="616"/>
      <c r="W160" s="616"/>
      <c r="X160" s="616"/>
      <c r="Y160" s="616"/>
      <c r="Z160" s="1113"/>
      <c r="AA160" s="616"/>
      <c r="AB160" s="616"/>
      <c r="AD160" s="616"/>
      <c r="AE160" s="616"/>
      <c r="AF160" s="616"/>
      <c r="AG160" s="34"/>
      <c r="AN160" s="9"/>
      <c r="AO160" s="2"/>
      <c r="AP160" s="2"/>
      <c r="AQ160" s="2"/>
      <c r="AR160" s="2"/>
    </row>
    <row r="161" spans="1:44">
      <c r="A161" s="739" t="s">
        <v>1180</v>
      </c>
      <c r="C161" s="34"/>
      <c r="D161" s="616"/>
      <c r="F161" s="616"/>
      <c r="G161" s="616"/>
      <c r="H161" s="616"/>
      <c r="I161" s="616"/>
      <c r="J161" s="616"/>
      <c r="K161" s="616"/>
      <c r="L161" s="616"/>
      <c r="M161" s="616"/>
      <c r="N161" s="616"/>
      <c r="O161" s="616"/>
      <c r="P161" s="616"/>
      <c r="Q161" s="702"/>
      <c r="R161" s="702"/>
      <c r="S161" s="702"/>
      <c r="T161" s="702"/>
      <c r="U161" s="702"/>
      <c r="V161" s="702"/>
      <c r="W161" s="702"/>
      <c r="X161" s="702"/>
      <c r="Y161" s="702"/>
      <c r="Z161" s="702"/>
      <c r="AA161" s="702"/>
      <c r="AB161" s="702"/>
      <c r="AC161" s="694"/>
      <c r="AD161" s="616"/>
      <c r="AE161" s="616"/>
      <c r="AF161" s="616"/>
      <c r="AG161" s="34"/>
      <c r="AN161" s="9"/>
      <c r="AO161" s="2"/>
      <c r="AP161" s="2"/>
      <c r="AQ161" s="2"/>
      <c r="AR161" s="2"/>
    </row>
    <row r="162" spans="1:44">
      <c r="A162" s="616" t="s">
        <v>1285</v>
      </c>
      <c r="C162" s="616"/>
      <c r="D162" s="616"/>
      <c r="F162" s="616"/>
      <c r="G162" s="616"/>
      <c r="H162" s="616"/>
      <c r="I162" s="616"/>
      <c r="J162" s="616"/>
      <c r="K162" s="616"/>
      <c r="L162" s="616"/>
      <c r="M162" s="616"/>
      <c r="N162" s="616"/>
      <c r="O162" s="616"/>
      <c r="P162" s="616"/>
      <c r="Q162" s="616"/>
      <c r="R162" s="616"/>
      <c r="S162" s="616">
        <v>21000</v>
      </c>
      <c r="T162" s="616">
        <v>-28000</v>
      </c>
      <c r="U162" s="616">
        <v>1000</v>
      </c>
      <c r="V162" s="616">
        <v>-24000</v>
      </c>
      <c r="W162" s="616">
        <v>-306000</v>
      </c>
      <c r="X162" s="616">
        <v>-12000</v>
      </c>
      <c r="Y162" s="616">
        <v>3000</v>
      </c>
      <c r="Z162" s="616">
        <v>0</v>
      </c>
      <c r="AA162" s="616">
        <v>0</v>
      </c>
      <c r="AB162" s="616">
        <v>0</v>
      </c>
      <c r="AC162" s="694"/>
      <c r="AD162" s="616"/>
      <c r="AE162" s="616"/>
      <c r="AF162" s="616"/>
      <c r="AG162" s="34"/>
      <c r="AN162" s="9"/>
      <c r="AO162" s="2"/>
      <c r="AP162" s="2"/>
      <c r="AQ162" s="2"/>
      <c r="AR162" s="2"/>
    </row>
    <row r="163" spans="1:44">
      <c r="B163" s="616"/>
      <c r="C163" s="616"/>
      <c r="D163" s="616"/>
      <c r="E163" s="34"/>
      <c r="F163" s="616"/>
      <c r="G163" s="616"/>
      <c r="H163" s="616"/>
      <c r="I163" s="616"/>
      <c r="J163" s="616"/>
      <c r="K163" s="616"/>
      <c r="L163" s="616"/>
      <c r="M163" s="616"/>
      <c r="N163" s="616"/>
      <c r="O163" s="616"/>
      <c r="P163" s="616"/>
      <c r="Q163" s="702"/>
      <c r="R163" s="702"/>
      <c r="S163" s="702"/>
      <c r="T163" s="702"/>
      <c r="U163" s="702"/>
      <c r="V163" s="702"/>
      <c r="W163" s="702"/>
      <c r="X163" s="702"/>
      <c r="Y163" s="702"/>
      <c r="Z163" s="702"/>
      <c r="AA163" s="702"/>
      <c r="AB163" s="702"/>
      <c r="AC163" s="694"/>
      <c r="AD163" s="616"/>
      <c r="AE163" s="616"/>
      <c r="AF163" s="616"/>
      <c r="AG163" s="34"/>
      <c r="AN163" s="9"/>
      <c r="AO163" s="2"/>
      <c r="AP163" s="2"/>
      <c r="AQ163" s="2"/>
      <c r="AR163" s="2"/>
    </row>
    <row r="164" spans="1:44">
      <c r="A164" s="1111" t="s">
        <v>1330</v>
      </c>
      <c r="B164" s="616"/>
      <c r="C164" s="616"/>
      <c r="D164" s="616"/>
      <c r="F164" s="735"/>
      <c r="G164" s="735"/>
      <c r="H164" s="735"/>
      <c r="I164" s="735"/>
      <c r="J164" s="735"/>
      <c r="K164" s="735"/>
      <c r="L164" s="735"/>
      <c r="M164" s="735"/>
      <c r="N164" s="735"/>
      <c r="O164" s="735"/>
      <c r="P164" s="735"/>
      <c r="Q164" s="735"/>
      <c r="R164" s="616"/>
      <c r="S164" s="616">
        <v>0</v>
      </c>
      <c r="T164" s="616">
        <v>0</v>
      </c>
      <c r="U164" s="616">
        <v>0</v>
      </c>
      <c r="V164" s="616">
        <v>16000</v>
      </c>
      <c r="W164" s="616">
        <v>4000</v>
      </c>
      <c r="X164" s="616">
        <v>0</v>
      </c>
      <c r="Y164" s="616">
        <v>-3000</v>
      </c>
      <c r="Z164" s="616">
        <v>7000</v>
      </c>
      <c r="AA164" s="616">
        <v>-5000</v>
      </c>
      <c r="AB164" s="616">
        <v>0</v>
      </c>
      <c r="AC164" s="694"/>
      <c r="AD164" s="616"/>
      <c r="AE164" s="616"/>
      <c r="AF164" s="616"/>
      <c r="AG164" s="34"/>
      <c r="AN164" s="9"/>
      <c r="AO164" s="2"/>
      <c r="AP164" s="2"/>
      <c r="AQ164" s="2"/>
      <c r="AR164" s="2"/>
    </row>
    <row r="165" spans="1:44">
      <c r="A165" s="1111" t="s">
        <v>1331</v>
      </c>
      <c r="B165" s="616"/>
      <c r="C165" s="616"/>
      <c r="D165" s="616"/>
      <c r="F165" s="616"/>
      <c r="G165" s="616"/>
      <c r="H165" s="616"/>
      <c r="I165" s="616"/>
      <c r="J165" s="616"/>
      <c r="K165" s="616"/>
      <c r="L165" s="616"/>
      <c r="M165" s="616"/>
      <c r="N165" s="616"/>
      <c r="O165" s="616"/>
      <c r="P165" s="616"/>
      <c r="Q165" s="616"/>
      <c r="R165" s="616"/>
      <c r="S165" s="616"/>
      <c r="T165" s="616"/>
      <c r="U165" s="616"/>
      <c r="V165" s="616">
        <v>16000</v>
      </c>
      <c r="W165" s="616">
        <v>4000</v>
      </c>
      <c r="X165" s="616">
        <v>0</v>
      </c>
      <c r="Y165" s="616">
        <v>-3000</v>
      </c>
      <c r="Z165" s="616">
        <v>7000</v>
      </c>
      <c r="AA165" s="616">
        <v>-5000</v>
      </c>
      <c r="AB165" s="616">
        <v>0</v>
      </c>
      <c r="AC165" s="694"/>
      <c r="AD165" s="616"/>
      <c r="AE165" s="616"/>
      <c r="AF165" s="616"/>
      <c r="AG165" s="34"/>
      <c r="AN165" s="9"/>
      <c r="AO165" s="2"/>
      <c r="AP165" s="2"/>
      <c r="AQ165" s="2"/>
      <c r="AR165" s="2"/>
    </row>
    <row r="166" spans="1:44">
      <c r="A166" s="1111"/>
      <c r="B166" s="616"/>
      <c r="C166" s="616"/>
      <c r="D166" s="616"/>
      <c r="F166" s="616"/>
      <c r="G166" s="616"/>
      <c r="H166" s="616"/>
      <c r="I166" s="616"/>
      <c r="J166" s="616"/>
      <c r="K166" s="616"/>
      <c r="L166" s="616"/>
      <c r="M166" s="616"/>
      <c r="N166" s="616"/>
      <c r="O166" s="616"/>
      <c r="P166" s="616"/>
      <c r="Q166" s="616"/>
      <c r="R166" s="616"/>
      <c r="S166" s="616"/>
      <c r="T166" s="616"/>
      <c r="U166" s="616"/>
      <c r="V166" s="616"/>
      <c r="W166" s="616"/>
      <c r="X166" s="616"/>
      <c r="Y166" s="616"/>
      <c r="Z166" s="616"/>
      <c r="AA166" s="616"/>
      <c r="AB166" s="616"/>
      <c r="AC166" s="694"/>
      <c r="AD166" s="616"/>
      <c r="AE166" s="616"/>
      <c r="AF166" s="616"/>
      <c r="AG166" s="34"/>
      <c r="AN166" s="9"/>
      <c r="AO166" s="2"/>
      <c r="AP166" s="2"/>
      <c r="AQ166" s="2"/>
      <c r="AR166" s="2"/>
    </row>
    <row r="167" spans="1:44" ht="12.75" customHeight="1">
      <c r="A167" s="996" t="s">
        <v>1399</v>
      </c>
      <c r="B167" s="996"/>
      <c r="C167" s="996"/>
      <c r="D167" s="996"/>
      <c r="F167" s="616"/>
      <c r="G167" s="616"/>
      <c r="H167" s="616"/>
      <c r="I167" s="616"/>
      <c r="J167" s="616"/>
      <c r="K167" s="616"/>
      <c r="L167" s="616"/>
      <c r="M167" s="616"/>
      <c r="N167" s="616"/>
      <c r="O167" s="616"/>
      <c r="P167" s="616"/>
      <c r="Q167" s="1127"/>
      <c r="R167" s="1127"/>
      <c r="S167" s="1127"/>
      <c r="T167" s="1127"/>
      <c r="U167" s="1127"/>
      <c r="V167" s="1127"/>
      <c r="W167" s="1127"/>
      <c r="X167" s="1127"/>
      <c r="Y167" s="1127"/>
      <c r="Z167" s="1127"/>
      <c r="AA167" s="1127"/>
      <c r="AB167" s="1127"/>
      <c r="AC167" s="1502"/>
      <c r="AD167" s="1503"/>
      <c r="AE167" s="616"/>
      <c r="AF167" s="616"/>
      <c r="AG167" s="34"/>
      <c r="AN167" s="9"/>
      <c r="AO167" s="2"/>
      <c r="AP167" s="2"/>
      <c r="AQ167" s="2"/>
      <c r="AR167" s="2"/>
    </row>
    <row r="168" spans="1:44" ht="12.75" customHeight="1">
      <c r="A168" s="1355" t="s">
        <v>1401</v>
      </c>
      <c r="B168" s="1110"/>
      <c r="C168" s="1108"/>
      <c r="D168" s="1272"/>
      <c r="E168" s="616"/>
      <c r="F168" s="616"/>
      <c r="G168" s="616"/>
      <c r="H168" s="616"/>
      <c r="I168" s="616"/>
      <c r="J168" s="616"/>
      <c r="K168" s="616"/>
      <c r="L168" s="616"/>
      <c r="M168" s="616"/>
      <c r="N168" s="616"/>
      <c r="O168" s="616"/>
      <c r="P168" s="616"/>
      <c r="Q168" s="616"/>
      <c r="R168" s="616"/>
      <c r="U168" s="616"/>
      <c r="V168" s="616"/>
      <c r="W168" s="616"/>
      <c r="X168" s="616"/>
      <c r="Y168" s="616"/>
      <c r="Z168" s="616"/>
      <c r="AA168" s="616"/>
      <c r="AB168" s="616"/>
      <c r="AC168" s="1502"/>
      <c r="AD168" s="1503"/>
      <c r="AE168" s="616"/>
      <c r="AF168" s="616"/>
      <c r="AG168" s="34"/>
      <c r="AN168" s="9"/>
      <c r="AO168" s="2"/>
      <c r="AP168" s="2"/>
      <c r="AQ168" s="2"/>
      <c r="AR168" s="2"/>
    </row>
    <row r="169" spans="1:44">
      <c r="A169" s="1256" t="s">
        <v>1210</v>
      </c>
      <c r="C169" s="34"/>
      <c r="D169" s="729"/>
      <c r="F169" s="616"/>
      <c r="G169" s="616"/>
      <c r="H169" s="616"/>
      <c r="I169" s="616"/>
      <c r="J169" s="616"/>
      <c r="K169" s="707">
        <v>12419</v>
      </c>
      <c r="L169" s="616"/>
      <c r="M169" s="616"/>
      <c r="N169" s="616"/>
      <c r="O169" s="616"/>
      <c r="P169" s="616"/>
      <c r="Q169" s="616"/>
      <c r="R169" s="1327"/>
      <c r="U169" s="616"/>
      <c r="V169" s="616">
        <v>0</v>
      </c>
      <c r="W169" s="616">
        <v>-43000</v>
      </c>
      <c r="X169" s="616"/>
      <c r="Y169" s="616"/>
      <c r="Z169" s="616"/>
      <c r="AA169" s="616"/>
      <c r="AB169" s="616"/>
      <c r="AC169" s="694"/>
      <c r="AD169" s="616"/>
      <c r="AE169" s="616"/>
      <c r="AF169" s="616"/>
      <c r="AG169" s="34"/>
      <c r="AN169" s="9"/>
      <c r="AO169" s="2"/>
      <c r="AP169" s="2"/>
      <c r="AQ169" s="2"/>
      <c r="AR169" s="2"/>
    </row>
    <row r="170" spans="1:44">
      <c r="A170" s="1256" t="s">
        <v>111</v>
      </c>
      <c r="E170" s="1121"/>
      <c r="F170" s="616">
        <v>0</v>
      </c>
      <c r="G170" s="616">
        <v>0</v>
      </c>
      <c r="H170" s="616">
        <v>0</v>
      </c>
      <c r="I170" s="616">
        <v>0</v>
      </c>
      <c r="J170" s="616">
        <v>0</v>
      </c>
      <c r="K170" s="616">
        <v>0</v>
      </c>
      <c r="L170" s="616">
        <v>0</v>
      </c>
      <c r="M170" s="616">
        <v>0</v>
      </c>
      <c r="N170" s="616">
        <v>0</v>
      </c>
      <c r="O170" s="616">
        <v>0</v>
      </c>
      <c r="P170" s="616">
        <v>0</v>
      </c>
      <c r="Q170" s="616">
        <v>0</v>
      </c>
      <c r="R170" s="1269">
        <v>-12095</v>
      </c>
      <c r="U170" s="616"/>
      <c r="V170" s="616"/>
      <c r="W170" s="616"/>
      <c r="X170" s="616"/>
      <c r="Y170" s="616"/>
      <c r="Z170" s="616"/>
      <c r="AA170" s="616"/>
      <c r="AB170" s="616"/>
      <c r="AC170" s="694"/>
      <c r="AD170" s="616"/>
      <c r="AE170" s="616"/>
      <c r="AF170" s="616"/>
      <c r="AG170" s="34"/>
      <c r="AN170" s="9"/>
      <c r="AO170" s="2"/>
      <c r="AP170" s="2"/>
      <c r="AQ170" s="2"/>
      <c r="AR170" s="2"/>
    </row>
    <row r="171" spans="1:44">
      <c r="A171" s="1466" t="s">
        <v>113</v>
      </c>
      <c r="B171" s="1158"/>
      <c r="C171" s="1158"/>
      <c r="D171" s="1158"/>
      <c r="E171" s="1158"/>
      <c r="F171" s="616">
        <v>0</v>
      </c>
      <c r="G171" s="616">
        <v>0</v>
      </c>
      <c r="H171" s="616">
        <v>0</v>
      </c>
      <c r="I171" s="616">
        <v>0</v>
      </c>
      <c r="J171" s="616">
        <v>0</v>
      </c>
      <c r="K171" s="616">
        <v>0</v>
      </c>
      <c r="L171" s="616">
        <v>0</v>
      </c>
      <c r="M171" s="616">
        <v>0</v>
      </c>
      <c r="N171" s="616"/>
      <c r="O171" s="616">
        <v>0</v>
      </c>
      <c r="P171" s="616">
        <v>6428</v>
      </c>
      <c r="Q171" s="616">
        <v>-1200</v>
      </c>
      <c r="R171" s="1269"/>
      <c r="S171" s="616">
        <v>-4000</v>
      </c>
      <c r="T171" s="616">
        <v>-72000</v>
      </c>
      <c r="U171" s="616">
        <v>-2000</v>
      </c>
      <c r="V171" s="616">
        <v>0</v>
      </c>
      <c r="W171" s="616">
        <v>-36000</v>
      </c>
      <c r="X171" s="616"/>
      <c r="Y171" s="616"/>
      <c r="Z171" s="616"/>
      <c r="AA171" s="616"/>
      <c r="AB171" s="616"/>
      <c r="AC171" s="694"/>
      <c r="AD171" s="616"/>
      <c r="AE171" s="616"/>
      <c r="AF171" s="616"/>
      <c r="AG171" s="34"/>
      <c r="AN171" s="9"/>
      <c r="AO171" s="2"/>
      <c r="AP171" s="2"/>
      <c r="AQ171" s="2"/>
      <c r="AR171" s="2"/>
    </row>
    <row r="172" spans="1:44">
      <c r="A172" s="1429" t="s">
        <v>1342</v>
      </c>
      <c r="B172" s="1158"/>
      <c r="C172" s="1158"/>
      <c r="D172" s="1158"/>
      <c r="E172" s="1158"/>
      <c r="F172" s="616">
        <v>0</v>
      </c>
      <c r="G172" s="616">
        <v>0</v>
      </c>
      <c r="H172" s="616">
        <v>0</v>
      </c>
      <c r="I172" s="616">
        <v>0</v>
      </c>
      <c r="J172" s="616">
        <v>0</v>
      </c>
      <c r="K172" s="616">
        <v>0</v>
      </c>
      <c r="L172" s="616">
        <v>0</v>
      </c>
      <c r="M172" s="616">
        <v>0</v>
      </c>
      <c r="N172" s="616"/>
      <c r="O172" s="616">
        <v>139556</v>
      </c>
      <c r="P172" s="616">
        <v>149793</v>
      </c>
      <c r="Q172" s="616">
        <v>-174318</v>
      </c>
      <c r="R172" s="1269">
        <v>-166322</v>
      </c>
      <c r="S172" s="616">
        <v>-193000</v>
      </c>
      <c r="T172" s="616">
        <v>-195000</v>
      </c>
      <c r="U172" s="616">
        <v>-190000</v>
      </c>
      <c r="V172" s="616">
        <v>-204000</v>
      </c>
      <c r="W172" s="616">
        <v>-201000</v>
      </c>
      <c r="X172" s="616">
        <v>-208000</v>
      </c>
      <c r="Y172" s="616">
        <v>-220000</v>
      </c>
      <c r="Z172" s="616">
        <v>-205000</v>
      </c>
      <c r="AA172" s="616">
        <v>-220000</v>
      </c>
      <c r="AB172" s="1269">
        <v>-249000</v>
      </c>
      <c r="AC172" s="694"/>
      <c r="AD172" s="616"/>
      <c r="AE172" s="616"/>
      <c r="AF172" s="616"/>
      <c r="AG172" s="34"/>
      <c r="AN172" s="9"/>
      <c r="AO172" s="2"/>
      <c r="AP172" s="2"/>
      <c r="AQ172" s="2"/>
      <c r="AR172" s="2"/>
    </row>
    <row r="173" spans="1:44">
      <c r="A173" s="1429" t="s">
        <v>1343</v>
      </c>
      <c r="B173" s="1158"/>
      <c r="C173" s="1126"/>
      <c r="D173" s="616"/>
      <c r="E173" s="1158"/>
      <c r="F173" s="616"/>
      <c r="G173" s="616"/>
      <c r="H173" s="616"/>
      <c r="I173" s="616"/>
      <c r="J173" s="616"/>
      <c r="K173" s="616"/>
      <c r="L173" s="616"/>
      <c r="M173" s="616"/>
      <c r="N173" s="616"/>
      <c r="O173" s="616"/>
      <c r="P173" s="616"/>
      <c r="Q173" s="616"/>
      <c r="R173" s="1269"/>
      <c r="S173" s="616"/>
      <c r="T173" s="616"/>
      <c r="U173" s="616"/>
      <c r="V173" s="616"/>
      <c r="W173" s="616"/>
      <c r="X173" s="616">
        <v>-6000</v>
      </c>
      <c r="Y173" s="616">
        <v>-8000</v>
      </c>
      <c r="Z173" s="616">
        <v>-9000</v>
      </c>
      <c r="AA173" s="616">
        <v>-11000</v>
      </c>
      <c r="AB173" s="1269">
        <v>-11000</v>
      </c>
      <c r="AC173" s="694"/>
      <c r="AD173" s="616"/>
      <c r="AE173" s="616"/>
      <c r="AF173" s="616"/>
      <c r="AG173" s="34"/>
      <c r="AN173" s="9"/>
      <c r="AO173" s="2"/>
      <c r="AP173" s="2"/>
      <c r="AQ173" s="2"/>
      <c r="AR173" s="2"/>
    </row>
    <row r="174" spans="1:44">
      <c r="A174" s="1466" t="s">
        <v>117</v>
      </c>
      <c r="B174" s="1158"/>
      <c r="C174" s="1126"/>
      <c r="D174" s="616"/>
      <c r="E174" s="1158"/>
      <c r="F174" s="616"/>
      <c r="G174" s="616"/>
      <c r="H174" s="616"/>
      <c r="I174" s="616"/>
      <c r="J174" s="616"/>
      <c r="K174" s="616"/>
      <c r="L174" s="616"/>
      <c r="M174" s="616"/>
      <c r="N174" s="616"/>
      <c r="O174" s="616"/>
      <c r="P174" s="616"/>
      <c r="Q174" s="616"/>
      <c r="R174" s="1269"/>
      <c r="S174" s="616"/>
      <c r="T174" s="616"/>
      <c r="U174" s="616"/>
      <c r="V174" s="616"/>
      <c r="W174" s="616"/>
      <c r="X174" s="616"/>
      <c r="Y174" s="616"/>
      <c r="Z174" s="616"/>
      <c r="AA174" s="616">
        <v>-10000</v>
      </c>
      <c r="AB174" s="616">
        <v>-2000</v>
      </c>
      <c r="AC174" s="694"/>
      <c r="AD174" s="616"/>
      <c r="AE174" s="616"/>
      <c r="AF174" s="616"/>
      <c r="AG174" s="34"/>
      <c r="AN174" s="9"/>
      <c r="AO174" s="2"/>
      <c r="AP174" s="2"/>
      <c r="AQ174" s="2"/>
      <c r="AR174" s="2"/>
    </row>
    <row r="175" spans="1:44">
      <c r="A175" s="1466" t="s">
        <v>1211</v>
      </c>
      <c r="B175" s="1158"/>
      <c r="C175" s="1126"/>
      <c r="D175" s="616"/>
      <c r="E175" s="1158"/>
      <c r="F175" s="616">
        <v>0</v>
      </c>
      <c r="G175" s="616"/>
      <c r="H175" s="616"/>
      <c r="I175" s="616">
        <v>108</v>
      </c>
      <c r="J175" s="616">
        <v>22</v>
      </c>
      <c r="K175" s="616">
        <v>425</v>
      </c>
      <c r="L175" s="616">
        <v>135</v>
      </c>
      <c r="M175" s="616">
        <v>149</v>
      </c>
      <c r="N175" s="616">
        <v>0</v>
      </c>
      <c r="O175" s="616">
        <v>-508</v>
      </c>
      <c r="P175" s="616">
        <v>-4797</v>
      </c>
      <c r="Q175" s="616">
        <v>275</v>
      </c>
      <c r="R175" s="1269"/>
      <c r="S175" s="616"/>
      <c r="T175" s="616"/>
      <c r="U175" s="616">
        <v>6000</v>
      </c>
      <c r="V175" s="616">
        <v>2000</v>
      </c>
      <c r="W175" s="616"/>
      <c r="X175" s="616"/>
      <c r="Y175" s="616"/>
      <c r="Z175" s="616"/>
      <c r="AA175" s="616"/>
      <c r="AB175" s="616"/>
      <c r="AC175" s="694"/>
      <c r="AD175" s="616"/>
      <c r="AE175" s="616"/>
      <c r="AF175" s="616"/>
      <c r="AG175" s="34"/>
      <c r="AN175" s="9"/>
      <c r="AO175" s="2"/>
      <c r="AP175" s="2"/>
      <c r="AQ175" s="2"/>
      <c r="AR175" s="2"/>
    </row>
    <row r="176" spans="1:44">
      <c r="A176" s="1466" t="s">
        <v>1344</v>
      </c>
      <c r="B176" s="1158"/>
      <c r="C176" s="1126"/>
      <c r="D176" s="616"/>
      <c r="E176" s="1158"/>
      <c r="F176" s="616">
        <v>0</v>
      </c>
      <c r="G176" s="616">
        <v>0</v>
      </c>
      <c r="H176" s="616">
        <v>0</v>
      </c>
      <c r="I176" s="616">
        <v>0</v>
      </c>
      <c r="J176" s="616">
        <v>0</v>
      </c>
      <c r="K176" s="616">
        <v>0</v>
      </c>
      <c r="L176" s="616">
        <v>-125</v>
      </c>
      <c r="M176" s="616">
        <v>1430</v>
      </c>
      <c r="N176" s="616">
        <v>0</v>
      </c>
      <c r="O176" s="616">
        <v>0</v>
      </c>
      <c r="P176" s="616">
        <v>0</v>
      </c>
      <c r="Q176" s="616">
        <v>-2012</v>
      </c>
      <c r="R176" s="1269">
        <v>2382</v>
      </c>
      <c r="S176" s="616">
        <v>2000</v>
      </c>
      <c r="T176" s="616"/>
      <c r="U176" s="616"/>
      <c r="V176" s="616"/>
      <c r="W176" s="616"/>
      <c r="X176" s="616"/>
      <c r="Y176" s="616"/>
      <c r="Z176" s="616"/>
      <c r="AA176" s="616"/>
      <c r="AB176" s="616"/>
      <c r="AC176" s="694"/>
      <c r="AD176" s="616"/>
      <c r="AE176" s="616"/>
      <c r="AF176" s="616"/>
      <c r="AG176" s="34"/>
      <c r="AN176" s="9"/>
      <c r="AO176" s="2"/>
      <c r="AP176" s="2"/>
      <c r="AQ176" s="2"/>
      <c r="AR176" s="2"/>
    </row>
    <row r="177" spans="1:44">
      <c r="A177" s="1466" t="s">
        <v>1345</v>
      </c>
      <c r="B177" s="1158"/>
      <c r="C177" s="1126"/>
      <c r="D177" s="616"/>
      <c r="E177" s="1158"/>
      <c r="F177" s="616">
        <v>0</v>
      </c>
      <c r="G177" s="616"/>
      <c r="H177" s="616"/>
      <c r="I177" s="616"/>
      <c r="J177" s="616"/>
      <c r="K177" s="616"/>
      <c r="L177" s="616"/>
      <c r="M177" s="616"/>
      <c r="N177" s="616">
        <v>-24546</v>
      </c>
      <c r="O177" s="616">
        <v>-31165</v>
      </c>
      <c r="P177" s="616">
        <v>146598</v>
      </c>
      <c r="Q177" s="616">
        <v>-71255</v>
      </c>
      <c r="R177" s="1269">
        <v>-5940</v>
      </c>
      <c r="S177" s="616">
        <v>-11000</v>
      </c>
      <c r="T177" s="616">
        <v>11000</v>
      </c>
      <c r="U177" s="616">
        <v>7000</v>
      </c>
      <c r="V177" s="616">
        <v>-37000</v>
      </c>
      <c r="W177" s="616">
        <v>-21000</v>
      </c>
      <c r="X177" s="616">
        <v>23000</v>
      </c>
      <c r="Y177" s="616">
        <v>3000</v>
      </c>
      <c r="Z177" s="616">
        <v>2000</v>
      </c>
      <c r="AA177" s="616">
        <v>0</v>
      </c>
      <c r="AB177" s="616">
        <v>7000</v>
      </c>
      <c r="AC177" s="694"/>
      <c r="AD177" s="616"/>
      <c r="AE177" s="616"/>
      <c r="AF177" s="616"/>
      <c r="AG177" s="34"/>
      <c r="AN177" s="9"/>
      <c r="AO177" s="2"/>
      <c r="AP177" s="2"/>
      <c r="AQ177" s="2"/>
      <c r="AR177" s="2"/>
    </row>
    <row r="178" spans="1:44">
      <c r="A178" s="1466" t="s">
        <v>1214</v>
      </c>
      <c r="B178" s="1158"/>
      <c r="C178" s="1126"/>
      <c r="D178" s="616"/>
      <c r="E178" s="1158"/>
      <c r="F178" s="616">
        <v>0</v>
      </c>
      <c r="G178" s="616">
        <v>0</v>
      </c>
      <c r="H178" s="616">
        <v>0</v>
      </c>
      <c r="I178" s="616">
        <v>0</v>
      </c>
      <c r="J178" s="616">
        <v>0</v>
      </c>
      <c r="K178" s="616">
        <v>0</v>
      </c>
      <c r="L178" s="616">
        <v>0</v>
      </c>
      <c r="M178" s="616">
        <v>0</v>
      </c>
      <c r="N178" s="616">
        <v>0</v>
      </c>
      <c r="O178" s="616">
        <v>0</v>
      </c>
      <c r="P178" s="616">
        <v>0</v>
      </c>
      <c r="Q178" s="616">
        <v>0</v>
      </c>
      <c r="R178" s="1269"/>
      <c r="S178" s="616">
        <v>26000</v>
      </c>
      <c r="T178" s="616"/>
      <c r="U178" s="616"/>
      <c r="V178" s="616"/>
      <c r="W178" s="616">
        <v>-217000</v>
      </c>
      <c r="X178" s="616"/>
      <c r="Y178" s="616"/>
      <c r="Z178" s="616"/>
      <c r="AA178" s="616"/>
      <c r="AB178" s="616"/>
      <c r="AC178" s="694"/>
      <c r="AD178" s="616"/>
      <c r="AE178" s="616"/>
      <c r="AF178" s="616"/>
      <c r="AG178" s="34"/>
      <c r="AN178" s="9"/>
      <c r="AO178" s="2"/>
      <c r="AP178" s="2"/>
      <c r="AQ178" s="2"/>
      <c r="AR178" s="2"/>
    </row>
    <row r="179" spans="1:44">
      <c r="A179" s="1466" t="s">
        <v>1212</v>
      </c>
      <c r="B179" s="1158"/>
      <c r="C179" s="1126"/>
      <c r="D179" s="616"/>
      <c r="E179" s="1158"/>
      <c r="F179" s="616">
        <v>0</v>
      </c>
      <c r="G179" s="616">
        <v>0</v>
      </c>
      <c r="H179" s="616">
        <v>0</v>
      </c>
      <c r="I179" s="616">
        <v>0</v>
      </c>
      <c r="J179" s="616">
        <v>0</v>
      </c>
      <c r="K179" s="616">
        <v>0</v>
      </c>
      <c r="L179" s="616">
        <v>0</v>
      </c>
      <c r="M179" s="616">
        <v>0</v>
      </c>
      <c r="N179" s="616">
        <v>-239</v>
      </c>
      <c r="O179" s="616">
        <v>0</v>
      </c>
      <c r="P179" s="616">
        <v>0</v>
      </c>
      <c r="Q179" s="616">
        <v>0</v>
      </c>
      <c r="R179" s="1269"/>
      <c r="S179" s="616">
        <v>2000</v>
      </c>
      <c r="T179" s="616">
        <v>50000</v>
      </c>
      <c r="U179" s="616"/>
      <c r="V179" s="616"/>
      <c r="W179" s="616"/>
      <c r="X179" s="616"/>
      <c r="Y179" s="616"/>
      <c r="Z179" s="616"/>
      <c r="AA179" s="616"/>
      <c r="AB179" s="616"/>
      <c r="AC179" s="694"/>
      <c r="AD179" s="616"/>
      <c r="AE179" s="616"/>
      <c r="AF179" s="616"/>
      <c r="AG179" s="34"/>
      <c r="AN179" s="9"/>
      <c r="AO179" s="2"/>
      <c r="AP179" s="2"/>
      <c r="AQ179" s="2"/>
      <c r="AR179" s="2"/>
    </row>
    <row r="180" spans="1:44">
      <c r="A180" s="1256" t="s">
        <v>121</v>
      </c>
      <c r="B180" s="1121"/>
      <c r="C180" s="1111"/>
      <c r="D180" s="616"/>
      <c r="E180" s="1121"/>
      <c r="F180" s="616"/>
      <c r="G180" s="616"/>
      <c r="H180" s="616"/>
      <c r="I180" s="616"/>
      <c r="J180" s="616"/>
      <c r="K180" s="616"/>
      <c r="L180" s="616"/>
      <c r="M180" s="616"/>
      <c r="N180" s="616"/>
      <c r="O180" s="616"/>
      <c r="P180" s="616"/>
      <c r="Q180" s="616"/>
      <c r="R180" s="1269"/>
      <c r="S180" s="616"/>
      <c r="T180" s="616"/>
      <c r="U180" s="616"/>
      <c r="V180" s="616"/>
      <c r="W180" s="616"/>
      <c r="X180" s="616"/>
      <c r="Y180" s="616"/>
      <c r="Z180" s="616">
        <v>-1000</v>
      </c>
      <c r="AA180" s="616">
        <v>-1000</v>
      </c>
      <c r="AB180" s="616">
        <v>-1000</v>
      </c>
      <c r="AC180" s="694"/>
      <c r="AD180" s="616"/>
      <c r="AE180" s="616"/>
      <c r="AF180" s="616"/>
      <c r="AG180" s="34"/>
      <c r="AN180" s="9"/>
      <c r="AO180" s="2"/>
      <c r="AP180" s="2"/>
      <c r="AQ180" s="2"/>
      <c r="AR180" s="2"/>
    </row>
    <row r="181" spans="1:44">
      <c r="A181" s="1256" t="s">
        <v>1182</v>
      </c>
      <c r="B181" s="1121"/>
      <c r="C181" s="1111"/>
      <c r="D181" s="616"/>
      <c r="E181" s="1121"/>
      <c r="F181" s="616"/>
      <c r="G181" s="616"/>
      <c r="H181" s="616"/>
      <c r="I181" s="616"/>
      <c r="J181" s="616"/>
      <c r="K181" s="616"/>
      <c r="L181" s="616"/>
      <c r="M181" s="616"/>
      <c r="N181" s="616"/>
      <c r="O181" s="616"/>
      <c r="P181" s="616"/>
      <c r="Q181" s="616"/>
      <c r="R181" s="1269">
        <v>-1311</v>
      </c>
      <c r="S181" s="616">
        <v>-2000</v>
      </c>
      <c r="T181" s="616">
        <v>6000</v>
      </c>
      <c r="U181" s="616"/>
      <c r="V181" s="616"/>
      <c r="W181" s="616"/>
      <c r="X181" s="616">
        <v>-5000</v>
      </c>
      <c r="Y181" s="616">
        <v>0</v>
      </c>
      <c r="Z181" s="616">
        <v>-3000</v>
      </c>
      <c r="AA181" s="616"/>
      <c r="AB181" s="616"/>
      <c r="AC181" s="694"/>
      <c r="AD181" s="616"/>
      <c r="AE181" s="616"/>
      <c r="AF181" s="616"/>
      <c r="AG181" s="34"/>
      <c r="AN181" s="9"/>
      <c r="AO181" s="2"/>
      <c r="AP181" s="2"/>
      <c r="AQ181" s="2"/>
      <c r="AR181" s="2"/>
    </row>
    <row r="182" spans="1:44">
      <c r="A182" s="1256" t="s">
        <v>123</v>
      </c>
      <c r="B182" s="1121"/>
      <c r="C182" s="1111"/>
      <c r="D182" s="616"/>
      <c r="E182" s="1121"/>
      <c r="F182" s="616">
        <v>0</v>
      </c>
      <c r="G182" s="616">
        <v>0</v>
      </c>
      <c r="H182" s="616">
        <v>0</v>
      </c>
      <c r="I182" s="616">
        <v>0</v>
      </c>
      <c r="J182" s="616">
        <v>0</v>
      </c>
      <c r="K182" s="616">
        <v>0</v>
      </c>
      <c r="L182" s="616">
        <v>0</v>
      </c>
      <c r="M182" s="616">
        <v>0</v>
      </c>
      <c r="N182" s="616">
        <v>0</v>
      </c>
      <c r="O182" s="616">
        <v>981</v>
      </c>
      <c r="P182" s="616">
        <v>98</v>
      </c>
      <c r="Q182" s="616">
        <v>-19</v>
      </c>
      <c r="R182" s="1269">
        <v>-2928</v>
      </c>
      <c r="S182" s="616">
        <v>-3000</v>
      </c>
      <c r="T182" s="616">
        <v>-4000</v>
      </c>
      <c r="U182" s="616">
        <v>-4000</v>
      </c>
      <c r="V182" s="616">
        <v>-4000</v>
      </c>
      <c r="W182" s="616">
        <v>-5000</v>
      </c>
      <c r="X182" s="616">
        <v>-3000</v>
      </c>
      <c r="Y182" s="616">
        <v>-3000</v>
      </c>
      <c r="Z182" s="616">
        <v>-4000</v>
      </c>
      <c r="AA182" s="616">
        <v>-3000</v>
      </c>
      <c r="AB182" s="616">
        <v>-2000</v>
      </c>
      <c r="AC182" s="694"/>
      <c r="AD182" s="616"/>
      <c r="AE182" s="616"/>
      <c r="AF182" s="616"/>
      <c r="AG182" s="34"/>
      <c r="AN182" s="9"/>
      <c r="AO182" s="2"/>
      <c r="AP182" s="2"/>
      <c r="AQ182" s="2"/>
      <c r="AR182" s="2"/>
    </row>
    <row r="183" spans="1:44">
      <c r="A183" s="1256" t="s">
        <v>1332</v>
      </c>
      <c r="B183" s="1121"/>
      <c r="C183" s="1111"/>
      <c r="D183" s="616"/>
      <c r="E183" s="1121"/>
      <c r="F183" s="616"/>
      <c r="G183" s="616"/>
      <c r="H183" s="616"/>
      <c r="I183" s="616"/>
      <c r="J183" s="616"/>
      <c r="K183" s="616"/>
      <c r="L183" s="616"/>
      <c r="M183" s="616"/>
      <c r="N183" s="616"/>
      <c r="O183" s="616"/>
      <c r="P183" s="616"/>
      <c r="Q183" s="702"/>
      <c r="R183" s="1270"/>
      <c r="S183" s="702"/>
      <c r="T183" s="702"/>
      <c r="U183" s="702"/>
      <c r="V183" s="702"/>
      <c r="W183" s="702"/>
      <c r="X183" s="702"/>
      <c r="Y183" s="702">
        <v>2000</v>
      </c>
      <c r="Z183" s="702">
        <v>165000</v>
      </c>
      <c r="AA183" s="702"/>
      <c r="AB183" s="702"/>
      <c r="AC183" s="694"/>
      <c r="AD183" s="616"/>
      <c r="AE183" s="616"/>
      <c r="AF183" s="616"/>
      <c r="AG183" s="34"/>
      <c r="AN183" s="9"/>
      <c r="AO183" s="2"/>
      <c r="AP183" s="2"/>
      <c r="AQ183" s="2"/>
      <c r="AR183" s="2"/>
    </row>
    <row r="184" spans="1:44" ht="13.5" thickBot="1">
      <c r="A184" s="1120" t="s">
        <v>1213</v>
      </c>
      <c r="B184" s="1121"/>
      <c r="C184" s="1120"/>
      <c r="D184" s="616"/>
      <c r="E184" s="1158"/>
      <c r="F184" s="725">
        <v>0</v>
      </c>
      <c r="G184" s="725">
        <v>0</v>
      </c>
      <c r="H184" s="725">
        <v>0</v>
      </c>
      <c r="I184" s="725">
        <v>108</v>
      </c>
      <c r="J184" s="725">
        <v>22</v>
      </c>
      <c r="K184" s="725">
        <v>12844</v>
      </c>
      <c r="L184" s="725">
        <v>10</v>
      </c>
      <c r="M184" s="725">
        <v>1579</v>
      </c>
      <c r="N184" s="725">
        <v>-24785</v>
      </c>
      <c r="O184" s="725">
        <v>108864</v>
      </c>
      <c r="P184" s="725">
        <v>298120</v>
      </c>
      <c r="Q184" s="616">
        <v>-248529</v>
      </c>
      <c r="R184" s="1269">
        <v>-186214</v>
      </c>
      <c r="S184" s="616">
        <v>-183000</v>
      </c>
      <c r="T184" s="616">
        <v>-204000</v>
      </c>
      <c r="U184" s="616">
        <v>-183000</v>
      </c>
      <c r="V184" s="616">
        <v>-243000</v>
      </c>
      <c r="W184" s="616">
        <v>-523000</v>
      </c>
      <c r="X184" s="616">
        <v>-199000</v>
      </c>
      <c r="Y184" s="616">
        <v>-226000</v>
      </c>
      <c r="Z184" s="616">
        <v>-55000</v>
      </c>
      <c r="AA184" s="616">
        <v>-245000</v>
      </c>
      <c r="AB184" s="616">
        <v>-258000</v>
      </c>
      <c r="AC184" s="694"/>
      <c r="AD184" s="616"/>
      <c r="AE184" s="616"/>
      <c r="AF184" s="616"/>
      <c r="AG184" s="34"/>
      <c r="AN184" s="9"/>
      <c r="AO184" s="2"/>
      <c r="AP184" s="2"/>
      <c r="AQ184" s="2"/>
      <c r="AR184" s="2"/>
    </row>
    <row r="185" spans="1:44" ht="13.5" thickTop="1">
      <c r="A185" s="1391" t="s">
        <v>1402</v>
      </c>
      <c r="B185" s="1391"/>
      <c r="C185" s="1391"/>
      <c r="D185" s="1391"/>
      <c r="E185" s="1121"/>
      <c r="F185" s="616"/>
      <c r="G185" s="616"/>
      <c r="H185" s="616"/>
      <c r="I185" s="616"/>
      <c r="J185" s="616"/>
      <c r="K185" s="616"/>
      <c r="L185" s="616"/>
      <c r="M185" s="616"/>
      <c r="N185" s="616"/>
      <c r="O185" s="616"/>
      <c r="P185" s="616"/>
      <c r="Q185" s="616"/>
      <c r="R185" s="616"/>
      <c r="S185" s="616"/>
      <c r="T185" s="616"/>
      <c r="U185" s="616"/>
      <c r="V185" s="616"/>
      <c r="W185" s="616"/>
      <c r="X185" s="616"/>
      <c r="Y185" s="616"/>
      <c r="Z185" s="616"/>
      <c r="AA185" s="616"/>
      <c r="AB185" s="616"/>
      <c r="AC185" s="694"/>
      <c r="AD185" s="616"/>
      <c r="AE185" s="616"/>
      <c r="AF185" s="616"/>
      <c r="AG185" s="34"/>
      <c r="AN185" s="9"/>
      <c r="AO185" s="2"/>
      <c r="AP185" s="2"/>
      <c r="AQ185" s="2"/>
      <c r="AR185" s="2"/>
    </row>
    <row r="186" spans="1:44">
      <c r="A186" s="1471" t="s">
        <v>413</v>
      </c>
      <c r="B186" s="1159"/>
      <c r="C186" s="1134"/>
      <c r="D186" s="702"/>
      <c r="E186" s="1392"/>
      <c r="F186" s="616"/>
      <c r="G186" s="616"/>
      <c r="H186" s="616"/>
      <c r="I186" s="616"/>
      <c r="J186" s="616"/>
      <c r="K186" s="616"/>
      <c r="L186" s="616"/>
      <c r="M186" s="616"/>
      <c r="N186" s="616"/>
      <c r="O186" s="616"/>
      <c r="P186" s="616"/>
      <c r="Q186" s="616"/>
      <c r="R186" s="616"/>
      <c r="S186" s="616"/>
      <c r="T186" s="616"/>
      <c r="U186" s="616"/>
      <c r="V186" s="616"/>
      <c r="W186" s="616"/>
      <c r="X186" s="616"/>
      <c r="Y186" s="616"/>
      <c r="Z186" s="616"/>
      <c r="AA186" s="616"/>
      <c r="AB186" s="616"/>
      <c r="AC186" s="694"/>
      <c r="AD186" s="616"/>
      <c r="AE186" s="616"/>
      <c r="AF186" s="616"/>
      <c r="AG186" s="34"/>
      <c r="AN186" s="9"/>
      <c r="AO186" s="2"/>
      <c r="AP186" s="2"/>
      <c r="AQ186" s="2"/>
      <c r="AR186" s="2"/>
    </row>
    <row r="187" spans="1:44">
      <c r="A187" s="1256" t="s">
        <v>1192</v>
      </c>
      <c r="B187" s="1121"/>
      <c r="C187" s="1121"/>
      <c r="D187" s="616"/>
      <c r="E187" s="1110"/>
      <c r="F187" s="616"/>
      <c r="G187" s="616"/>
      <c r="H187" s="616"/>
      <c r="I187" s="616"/>
      <c r="J187" s="616"/>
      <c r="K187" s="726">
        <v>12419</v>
      </c>
      <c r="L187" s="616"/>
      <c r="M187" s="616"/>
      <c r="N187" s="616"/>
      <c r="O187" s="616"/>
      <c r="P187" s="616"/>
      <c r="Q187" s="616"/>
      <c r="R187" s="1269"/>
      <c r="S187" s="1121"/>
      <c r="T187" s="1121"/>
      <c r="U187" s="616"/>
      <c r="V187" s="616">
        <v>0</v>
      </c>
      <c r="W187" s="616">
        <v>-43000</v>
      </c>
      <c r="X187" s="616"/>
      <c r="Y187" s="616"/>
      <c r="Z187" s="616"/>
      <c r="AA187" s="616"/>
      <c r="AB187" s="616"/>
      <c r="AC187" s="694"/>
      <c r="AD187" s="616"/>
      <c r="AE187" s="616"/>
      <c r="AF187" s="616"/>
      <c r="AG187" s="34"/>
      <c r="AN187" s="9"/>
      <c r="AO187" s="2"/>
      <c r="AP187" s="2"/>
      <c r="AQ187" s="2"/>
      <c r="AR187" s="2"/>
    </row>
    <row r="188" spans="1:44">
      <c r="A188" s="1256" t="s">
        <v>111</v>
      </c>
      <c r="B188" s="1121"/>
      <c r="C188" s="1120"/>
      <c r="D188" s="616"/>
      <c r="E188" s="1110"/>
      <c r="F188" s="616">
        <v>0</v>
      </c>
      <c r="G188" s="616">
        <v>0</v>
      </c>
      <c r="H188" s="616">
        <v>0</v>
      </c>
      <c r="I188" s="616">
        <v>0</v>
      </c>
      <c r="J188" s="616">
        <v>0</v>
      </c>
      <c r="K188" s="616">
        <v>0</v>
      </c>
      <c r="L188" s="616">
        <v>0</v>
      </c>
      <c r="M188" s="616">
        <v>0</v>
      </c>
      <c r="N188" s="616">
        <v>0</v>
      </c>
      <c r="O188" s="616">
        <v>0</v>
      </c>
      <c r="P188" s="616">
        <v>0</v>
      </c>
      <c r="Q188" s="616">
        <v>0</v>
      </c>
      <c r="R188" s="1269"/>
      <c r="S188" s="1121"/>
      <c r="T188" s="1121"/>
      <c r="U188" s="616"/>
      <c r="V188" s="616"/>
      <c r="W188" s="616"/>
      <c r="X188" s="616"/>
      <c r="Y188" s="616"/>
      <c r="Z188" s="616"/>
      <c r="AA188" s="616"/>
      <c r="AB188" s="616"/>
      <c r="AC188" s="694"/>
      <c r="AD188" s="616"/>
      <c r="AE188" s="616"/>
      <c r="AF188" s="616"/>
      <c r="AG188" s="34"/>
      <c r="AN188" s="9"/>
      <c r="AO188" s="2"/>
      <c r="AP188" s="2"/>
      <c r="AQ188" s="2"/>
      <c r="AR188" s="2"/>
    </row>
    <row r="189" spans="1:44">
      <c r="A189" s="1256" t="s">
        <v>113</v>
      </c>
      <c r="B189" s="1121"/>
      <c r="C189" s="1120"/>
      <c r="D189" s="616"/>
      <c r="E189" s="1110"/>
      <c r="F189" s="616">
        <v>0</v>
      </c>
      <c r="G189" s="616">
        <v>0</v>
      </c>
      <c r="H189" s="616">
        <v>0</v>
      </c>
      <c r="I189" s="616">
        <v>0</v>
      </c>
      <c r="J189" s="616">
        <v>0</v>
      </c>
      <c r="K189" s="616">
        <v>0</v>
      </c>
      <c r="L189" s="616">
        <v>0</v>
      </c>
      <c r="M189" s="616">
        <v>0</v>
      </c>
      <c r="N189" s="616"/>
      <c r="O189" s="616">
        <v>0</v>
      </c>
      <c r="P189" s="616">
        <v>6428</v>
      </c>
      <c r="Q189" s="616">
        <v>1200</v>
      </c>
      <c r="R189" s="1269"/>
      <c r="S189" s="616">
        <v>-4000</v>
      </c>
      <c r="T189" s="616">
        <v>-72000</v>
      </c>
      <c r="U189" s="616">
        <v>-2000</v>
      </c>
      <c r="V189" s="616">
        <v>0</v>
      </c>
      <c r="W189" s="616">
        <v>-36000</v>
      </c>
      <c r="X189" s="616"/>
      <c r="Y189" s="616"/>
      <c r="Z189" s="616"/>
      <c r="AA189" s="616"/>
      <c r="AB189" s="616"/>
      <c r="AC189" s="694"/>
      <c r="AD189" s="616"/>
      <c r="AE189" s="616"/>
      <c r="AF189" s="616"/>
      <c r="AG189" s="34"/>
      <c r="AN189" s="9"/>
      <c r="AO189" s="2"/>
      <c r="AP189" s="2"/>
      <c r="AQ189" s="2"/>
      <c r="AR189" s="2"/>
    </row>
    <row r="190" spans="1:44">
      <c r="A190" s="1256" t="s">
        <v>121</v>
      </c>
      <c r="B190" s="1121"/>
      <c r="C190" s="1120"/>
      <c r="D190" s="616"/>
      <c r="E190" s="1110"/>
      <c r="F190" s="616"/>
      <c r="G190" s="616"/>
      <c r="H190" s="616"/>
      <c r="I190" s="616"/>
      <c r="J190" s="616"/>
      <c r="K190" s="616"/>
      <c r="L190" s="616"/>
      <c r="M190" s="616"/>
      <c r="N190" s="616"/>
      <c r="O190" s="616"/>
      <c r="P190" s="616"/>
      <c r="Q190" s="616"/>
      <c r="R190" s="1269"/>
      <c r="S190" s="616"/>
      <c r="T190" s="616"/>
      <c r="U190" s="616"/>
      <c r="V190" s="616"/>
      <c r="W190" s="616"/>
      <c r="X190" s="616"/>
      <c r="Y190" s="616"/>
      <c r="Z190" s="616">
        <v>-1000</v>
      </c>
      <c r="AA190" s="616">
        <v>-1000</v>
      </c>
      <c r="AB190" s="616">
        <v>-1000</v>
      </c>
      <c r="AC190" s="694"/>
      <c r="AD190" s="616"/>
      <c r="AE190" s="616"/>
      <c r="AF190" s="616"/>
      <c r="AG190" s="34"/>
      <c r="AN190" s="9"/>
      <c r="AO190" s="2"/>
      <c r="AP190" s="2"/>
      <c r="AQ190" s="2"/>
      <c r="AR190" s="2"/>
    </row>
    <row r="191" spans="1:44">
      <c r="A191" s="1466" t="s">
        <v>117</v>
      </c>
      <c r="B191" s="1121"/>
      <c r="C191" s="1120"/>
      <c r="D191" s="616"/>
      <c r="E191" s="1110"/>
      <c r="F191" s="616"/>
      <c r="G191" s="616"/>
      <c r="H191" s="616"/>
      <c r="I191" s="616"/>
      <c r="J191" s="616"/>
      <c r="K191" s="616"/>
      <c r="L191" s="616"/>
      <c r="M191" s="616"/>
      <c r="N191" s="616"/>
      <c r="O191" s="616"/>
      <c r="P191" s="616"/>
      <c r="Q191" s="616"/>
      <c r="R191" s="1269"/>
      <c r="S191" s="616">
        <v>-2000</v>
      </c>
      <c r="T191" s="616">
        <v>6000</v>
      </c>
      <c r="U191" s="616">
        <v>0</v>
      </c>
      <c r="V191" s="616">
        <v>0</v>
      </c>
      <c r="W191" s="616">
        <v>0</v>
      </c>
      <c r="X191" s="616">
        <v>-5000</v>
      </c>
      <c r="Y191" s="616">
        <v>0</v>
      </c>
      <c r="Z191" s="616">
        <v>-3000</v>
      </c>
      <c r="AA191" s="616">
        <v>-10000</v>
      </c>
      <c r="AB191" s="616">
        <v>-2000</v>
      </c>
      <c r="AC191" s="694"/>
      <c r="AD191" s="616"/>
      <c r="AE191" s="616"/>
      <c r="AF191" s="616"/>
      <c r="AG191" s="34"/>
      <c r="AN191" s="9"/>
      <c r="AO191" s="2"/>
      <c r="AP191" s="2"/>
      <c r="AQ191" s="2"/>
      <c r="AR191" s="2"/>
    </row>
    <row r="192" spans="1:44">
      <c r="A192" s="1256" t="s">
        <v>1211</v>
      </c>
      <c r="B192" s="1121"/>
      <c r="C192" s="1120"/>
      <c r="D192" s="707" t="s">
        <v>1286</v>
      </c>
      <c r="E192" s="1110"/>
      <c r="F192" s="616">
        <v>0</v>
      </c>
      <c r="G192" s="616"/>
      <c r="H192" s="616"/>
      <c r="I192" s="616">
        <v>108</v>
      </c>
      <c r="J192" s="616">
        <v>22</v>
      </c>
      <c r="K192" s="616">
        <v>425</v>
      </c>
      <c r="L192" s="616">
        <v>135</v>
      </c>
      <c r="M192" s="616">
        <v>149</v>
      </c>
      <c r="N192" s="616">
        <v>0</v>
      </c>
      <c r="O192" s="616">
        <v>-508</v>
      </c>
      <c r="P192" s="616">
        <v>-4797</v>
      </c>
      <c r="Q192" s="616">
        <v>-275</v>
      </c>
      <c r="R192" s="1269"/>
      <c r="S192" s="616"/>
      <c r="T192" s="616"/>
      <c r="U192" s="616">
        <v>6000</v>
      </c>
      <c r="V192" s="616">
        <v>2000</v>
      </c>
      <c r="W192" s="616"/>
      <c r="X192" s="616"/>
      <c r="Y192" s="616"/>
      <c r="Z192" s="616"/>
      <c r="AA192" s="616"/>
      <c r="AB192" s="616"/>
      <c r="AC192" s="694"/>
      <c r="AD192" s="616"/>
      <c r="AE192" s="616"/>
      <c r="AF192" s="616"/>
      <c r="AG192" s="34"/>
      <c r="AN192" s="9"/>
      <c r="AO192" s="2"/>
      <c r="AP192" s="2"/>
      <c r="AQ192" s="2"/>
      <c r="AR192" s="2"/>
    </row>
    <row r="193" spans="1:44">
      <c r="A193" s="1256" t="s">
        <v>123</v>
      </c>
      <c r="B193" s="1121"/>
      <c r="C193" s="1120"/>
      <c r="D193" s="707"/>
      <c r="E193" s="1110"/>
      <c r="F193" s="616"/>
      <c r="G193" s="616"/>
      <c r="H193" s="616"/>
      <c r="I193" s="616"/>
      <c r="J193" s="616"/>
      <c r="K193" s="616"/>
      <c r="L193" s="616"/>
      <c r="M193" s="616"/>
      <c r="N193" s="616"/>
      <c r="O193" s="616"/>
      <c r="P193" s="616"/>
      <c r="Q193" s="616"/>
      <c r="R193" s="1269"/>
      <c r="S193" s="616">
        <v>-3000</v>
      </c>
      <c r="T193" s="616">
        <v>-4000</v>
      </c>
      <c r="U193" s="616">
        <v>-4000</v>
      </c>
      <c r="V193" s="616">
        <v>-4000</v>
      </c>
      <c r="W193" s="616">
        <v>-5000</v>
      </c>
      <c r="X193" s="616">
        <v>-3000</v>
      </c>
      <c r="Y193" s="616">
        <v>-3000</v>
      </c>
      <c r="Z193" s="616">
        <v>-4000</v>
      </c>
      <c r="AA193" s="616">
        <v>-3000</v>
      </c>
      <c r="AB193" s="616">
        <v>-2000</v>
      </c>
      <c r="AC193" s="694"/>
      <c r="AD193" s="616"/>
      <c r="AE193" s="616"/>
      <c r="AF193" s="616"/>
      <c r="AG193" s="34"/>
      <c r="AN193" s="9"/>
      <c r="AO193" s="2"/>
      <c r="AP193" s="2"/>
      <c r="AQ193" s="2"/>
      <c r="AR193" s="2"/>
    </row>
    <row r="194" spans="1:44">
      <c r="A194" s="1256" t="s">
        <v>1214</v>
      </c>
      <c r="B194" s="1121"/>
      <c r="C194" s="1120"/>
      <c r="D194" s="707"/>
      <c r="E194" s="1110"/>
      <c r="F194" s="616">
        <v>0</v>
      </c>
      <c r="G194" s="616">
        <v>0</v>
      </c>
      <c r="H194" s="616">
        <v>0</v>
      </c>
      <c r="I194" s="616">
        <v>0</v>
      </c>
      <c r="J194" s="616">
        <v>0</v>
      </c>
      <c r="K194" s="616">
        <v>0</v>
      </c>
      <c r="L194" s="616">
        <v>0</v>
      </c>
      <c r="M194" s="616">
        <v>0</v>
      </c>
      <c r="N194" s="616">
        <v>0</v>
      </c>
      <c r="O194" s="616">
        <v>0</v>
      </c>
      <c r="P194" s="616">
        <v>0</v>
      </c>
      <c r="Q194" s="616">
        <v>0</v>
      </c>
      <c r="R194" s="1269"/>
      <c r="S194" s="616">
        <v>26000</v>
      </c>
      <c r="T194" s="616"/>
      <c r="U194" s="616"/>
      <c r="V194" s="616"/>
      <c r="W194" s="616">
        <v>-217000</v>
      </c>
      <c r="X194" s="616"/>
      <c r="Y194" s="616"/>
      <c r="Z194" s="616"/>
      <c r="AA194" s="616"/>
      <c r="AB194" s="616"/>
      <c r="AC194" s="694"/>
      <c r="AD194" s="616"/>
      <c r="AE194" s="616"/>
      <c r="AF194" s="616"/>
      <c r="AG194" s="34"/>
      <c r="AN194" s="9"/>
      <c r="AO194" s="2"/>
      <c r="AP194" s="2"/>
      <c r="AQ194" s="2"/>
      <c r="AR194" s="2"/>
    </row>
    <row r="195" spans="1:44">
      <c r="A195" s="1256" t="s">
        <v>1212</v>
      </c>
      <c r="B195" s="1121"/>
      <c r="C195" s="1120"/>
      <c r="D195" s="707"/>
      <c r="E195" s="1110"/>
      <c r="F195" s="616">
        <v>0</v>
      </c>
      <c r="G195" s="616">
        <v>0</v>
      </c>
      <c r="H195" s="616">
        <v>0</v>
      </c>
      <c r="I195" s="616">
        <v>0</v>
      </c>
      <c r="J195" s="616">
        <v>0</v>
      </c>
      <c r="K195" s="616">
        <v>0</v>
      </c>
      <c r="L195" s="616">
        <v>0</v>
      </c>
      <c r="M195" s="616">
        <v>0</v>
      </c>
      <c r="N195" s="616">
        <v>-239</v>
      </c>
      <c r="O195" s="616">
        <v>0</v>
      </c>
      <c r="P195" s="616">
        <v>0</v>
      </c>
      <c r="Q195" s="616">
        <v>0</v>
      </c>
      <c r="R195" s="1269"/>
      <c r="S195" s="616">
        <v>2000</v>
      </c>
      <c r="T195" s="616">
        <v>50000</v>
      </c>
      <c r="U195" s="616"/>
      <c r="V195" s="616"/>
      <c r="W195" s="616"/>
      <c r="X195" s="616"/>
      <c r="Y195" s="616"/>
      <c r="Z195" s="616"/>
      <c r="AA195" s="616"/>
      <c r="AB195" s="616"/>
      <c r="AC195" s="694"/>
      <c r="AD195" s="616"/>
      <c r="AE195" s="616"/>
      <c r="AF195" s="616"/>
      <c r="AG195" s="34"/>
      <c r="AN195" s="9"/>
      <c r="AO195" s="2"/>
      <c r="AP195" s="2"/>
      <c r="AQ195" s="2"/>
      <c r="AR195" s="2"/>
    </row>
    <row r="196" spans="1:44">
      <c r="A196" s="1256" t="s">
        <v>1209</v>
      </c>
      <c r="B196" s="1121"/>
      <c r="C196" s="1120"/>
      <c r="D196" s="707"/>
      <c r="E196" s="1110"/>
      <c r="F196" s="616"/>
      <c r="G196" s="616"/>
      <c r="H196" s="616"/>
      <c r="I196" s="616"/>
      <c r="J196" s="616"/>
      <c r="K196" s="616"/>
      <c r="L196" s="616"/>
      <c r="M196" s="616"/>
      <c r="N196" s="616"/>
      <c r="O196" s="616"/>
      <c r="P196" s="616"/>
      <c r="Q196" s="702"/>
      <c r="R196" s="1269"/>
      <c r="S196" s="702"/>
      <c r="T196" s="702"/>
      <c r="U196" s="702"/>
      <c r="V196" s="702"/>
      <c r="W196" s="702"/>
      <c r="X196" s="702"/>
      <c r="Y196" s="702">
        <v>-2000</v>
      </c>
      <c r="Z196" s="702"/>
      <c r="AA196" s="702"/>
      <c r="AB196" s="702"/>
      <c r="AC196" s="694"/>
      <c r="AD196" s="616"/>
      <c r="AE196" s="616"/>
      <c r="AF196" s="616"/>
      <c r="AG196" s="34"/>
      <c r="AN196" s="9"/>
      <c r="AO196" s="2"/>
      <c r="AP196" s="2"/>
      <c r="AQ196" s="2"/>
      <c r="AR196" s="2"/>
    </row>
    <row r="197" spans="1:44">
      <c r="A197" s="1349" t="s">
        <v>1213</v>
      </c>
      <c r="B197" s="1121"/>
      <c r="C197" s="1120"/>
      <c r="D197" s="707"/>
      <c r="E197" s="1110"/>
      <c r="F197" s="616"/>
      <c r="G197" s="616"/>
      <c r="H197" s="616"/>
      <c r="I197" s="616"/>
      <c r="J197" s="616"/>
      <c r="K197" s="616"/>
      <c r="L197" s="616"/>
      <c r="M197" s="616"/>
      <c r="N197" s="616"/>
      <c r="O197" s="616"/>
      <c r="P197" s="616"/>
      <c r="Q197" s="616">
        <v>925</v>
      </c>
      <c r="R197" s="1269">
        <v>0</v>
      </c>
      <c r="S197" s="616">
        <v>19000</v>
      </c>
      <c r="T197" s="616">
        <v>-20000</v>
      </c>
      <c r="U197" s="616">
        <v>0</v>
      </c>
      <c r="V197" s="616">
        <v>-2000</v>
      </c>
      <c r="W197" s="616">
        <v>-258000</v>
      </c>
      <c r="X197" s="616">
        <v>-8000</v>
      </c>
      <c r="Y197" s="616">
        <v>-5000</v>
      </c>
      <c r="Z197" s="616">
        <v>-8000</v>
      </c>
      <c r="AA197" s="616">
        <v>-14000</v>
      </c>
      <c r="AB197" s="616">
        <v>-5000</v>
      </c>
      <c r="AC197" s="694"/>
      <c r="AD197" s="616"/>
      <c r="AE197" s="616"/>
      <c r="AF197" s="616"/>
      <c r="AG197" s="34"/>
      <c r="AN197" s="9"/>
      <c r="AO197" s="2"/>
      <c r="AP197" s="2"/>
      <c r="AQ197" s="2"/>
      <c r="AR197" s="2"/>
    </row>
    <row r="198" spans="1:44">
      <c r="A198" s="1256" t="s">
        <v>1361</v>
      </c>
      <c r="B198" s="1121"/>
      <c r="C198" s="1120"/>
      <c r="D198" s="707"/>
      <c r="E198" s="1110"/>
      <c r="F198" s="616"/>
      <c r="G198" s="616"/>
      <c r="H198" s="616"/>
      <c r="I198" s="616"/>
      <c r="J198" s="616"/>
      <c r="K198" s="616"/>
      <c r="L198" s="616"/>
      <c r="M198" s="616"/>
      <c r="N198" s="616"/>
      <c r="O198" s="616"/>
      <c r="P198" s="616"/>
      <c r="Q198" s="616"/>
      <c r="R198" s="1269"/>
      <c r="S198" s="616"/>
      <c r="T198" s="616"/>
      <c r="U198" s="616"/>
      <c r="V198" s="616"/>
      <c r="W198" s="616"/>
      <c r="X198" s="616"/>
      <c r="Y198" s="616"/>
      <c r="Z198" s="726">
        <v>-165000</v>
      </c>
      <c r="AA198" s="616"/>
      <c r="AB198" s="616"/>
      <c r="AC198" s="694"/>
      <c r="AD198" s="616"/>
      <c r="AE198" s="616"/>
      <c r="AF198" s="616"/>
      <c r="AG198" s="34"/>
      <c r="AN198" s="9"/>
      <c r="AO198" s="2"/>
      <c r="AP198" s="2"/>
      <c r="AQ198" s="2"/>
      <c r="AR198" s="2"/>
    </row>
    <row r="199" spans="1:44">
      <c r="A199" s="1121"/>
      <c r="B199" s="1121"/>
      <c r="C199" s="1120"/>
      <c r="D199" s="707"/>
      <c r="E199" s="1108"/>
      <c r="F199" s="616"/>
      <c r="G199" s="616"/>
      <c r="H199" s="616"/>
      <c r="I199" s="616"/>
      <c r="J199" s="616"/>
      <c r="K199" s="616"/>
      <c r="L199" s="616"/>
      <c r="M199" s="616"/>
      <c r="N199" s="616"/>
      <c r="O199" s="616"/>
      <c r="P199" s="616"/>
      <c r="Q199" s="616"/>
      <c r="R199" s="616"/>
      <c r="S199" s="616"/>
      <c r="T199" s="616"/>
      <c r="U199" s="616"/>
      <c r="V199" s="616"/>
      <c r="W199" s="616"/>
      <c r="X199" s="616"/>
      <c r="Y199" s="616"/>
      <c r="Z199" s="703" t="s">
        <v>1474</v>
      </c>
      <c r="AA199" s="616"/>
      <c r="AB199" s="616"/>
      <c r="AC199" s="694"/>
      <c r="AD199" s="616"/>
      <c r="AE199" s="616"/>
      <c r="AF199" s="616"/>
      <c r="AG199" s="34"/>
      <c r="AN199" s="9"/>
      <c r="AO199" s="2"/>
      <c r="AP199" s="2"/>
      <c r="AQ199" s="2"/>
      <c r="AR199" s="2"/>
    </row>
    <row r="200" spans="1:44">
      <c r="A200" s="1471" t="s">
        <v>420</v>
      </c>
      <c r="B200" s="4"/>
      <c r="C200" s="721"/>
      <c r="D200" s="1472"/>
      <c r="E200" s="1108"/>
      <c r="F200" s="616"/>
      <c r="G200" s="616"/>
      <c r="H200" s="616"/>
      <c r="I200" s="616"/>
      <c r="J200" s="616"/>
      <c r="K200" s="616"/>
      <c r="L200" s="616"/>
      <c r="M200" s="616"/>
      <c r="N200" s="616"/>
      <c r="O200" s="616"/>
      <c r="P200" s="616"/>
      <c r="Q200" s="616"/>
      <c r="R200" s="616"/>
      <c r="S200" s="616"/>
      <c r="T200" s="616"/>
      <c r="U200" s="616"/>
      <c r="V200" s="616"/>
      <c r="W200" s="616"/>
      <c r="X200" s="616"/>
      <c r="Y200" s="616"/>
      <c r="Z200" s="616"/>
      <c r="AA200" s="616"/>
      <c r="AB200" s="616"/>
      <c r="AC200" s="694"/>
      <c r="AD200" s="616"/>
      <c r="AE200" s="616"/>
      <c r="AF200" s="616"/>
      <c r="AG200" s="34"/>
      <c r="AN200" s="9"/>
      <c r="AO200" s="2"/>
      <c r="AP200" s="2"/>
      <c r="AQ200" s="2"/>
      <c r="AR200" s="2"/>
    </row>
    <row r="201" spans="1:44">
      <c r="A201" s="1256" t="s">
        <v>1240</v>
      </c>
      <c r="C201" s="613"/>
      <c r="D201" s="1275"/>
      <c r="E201" s="1110"/>
      <c r="F201" s="616"/>
      <c r="G201" s="616"/>
      <c r="H201" s="616"/>
      <c r="I201" s="616"/>
      <c r="J201" s="616"/>
      <c r="K201" s="616"/>
      <c r="L201" s="616"/>
      <c r="M201" s="616"/>
      <c r="N201" s="616"/>
      <c r="O201" s="616"/>
      <c r="P201" s="616"/>
      <c r="Q201" s="616"/>
      <c r="R201" s="616"/>
      <c r="S201" s="616"/>
      <c r="T201" s="616"/>
      <c r="U201" s="616"/>
      <c r="V201" s="616"/>
      <c r="W201" s="616"/>
      <c r="X201" s="616"/>
      <c r="Y201" s="616"/>
      <c r="Z201" s="616">
        <v>5000</v>
      </c>
      <c r="AA201" s="616"/>
      <c r="AB201" s="616"/>
      <c r="AC201" s="694"/>
      <c r="AD201" s="616"/>
      <c r="AE201" s="616"/>
      <c r="AF201" s="616"/>
      <c r="AG201" s="34"/>
      <c r="AN201" s="9"/>
      <c r="AO201" s="2"/>
      <c r="AP201" s="2"/>
      <c r="AQ201" s="2"/>
      <c r="AR201" s="2"/>
    </row>
    <row r="202" spans="1:44">
      <c r="A202" s="1256" t="s">
        <v>1235</v>
      </c>
      <c r="C202" s="613"/>
      <c r="D202" s="987" t="s">
        <v>1287</v>
      </c>
      <c r="E202" s="1110"/>
      <c r="F202" s="616"/>
      <c r="G202" s="616"/>
      <c r="H202" s="616"/>
      <c r="I202" s="616"/>
      <c r="J202" s="616"/>
      <c r="K202" s="616"/>
      <c r="L202" s="616"/>
      <c r="M202" s="616"/>
      <c r="N202" s="616"/>
      <c r="O202" s="616"/>
      <c r="P202" s="616"/>
      <c r="Q202" s="616"/>
      <c r="R202" s="1269"/>
      <c r="S202" s="616"/>
      <c r="T202" s="616"/>
      <c r="U202" s="616">
        <v>7000</v>
      </c>
      <c r="V202" s="616"/>
      <c r="W202" s="616"/>
      <c r="X202" s="616"/>
      <c r="Y202" s="616"/>
      <c r="Z202" s="616"/>
      <c r="AA202" s="616"/>
      <c r="AB202" s="616"/>
      <c r="AC202" s="694"/>
      <c r="AD202" s="616"/>
      <c r="AE202" s="616"/>
      <c r="AF202" s="616"/>
      <c r="AG202" s="34"/>
      <c r="AN202" s="9"/>
      <c r="AO202" s="2"/>
      <c r="AP202" s="2"/>
      <c r="AQ202" s="2"/>
      <c r="AR202" s="2"/>
    </row>
    <row r="203" spans="1:44">
      <c r="A203" s="1256" t="s">
        <v>1234</v>
      </c>
      <c r="C203" s="613"/>
      <c r="D203" s="987"/>
      <c r="E203" s="1110"/>
      <c r="F203" s="616"/>
      <c r="G203" s="616"/>
      <c r="H203" s="616"/>
      <c r="I203" s="616"/>
      <c r="J203" s="616"/>
      <c r="K203" s="616"/>
      <c r="L203" s="616"/>
      <c r="M203" s="616"/>
      <c r="N203" s="616"/>
      <c r="O203" s="616"/>
      <c r="P203" s="616"/>
      <c r="Q203" s="616"/>
      <c r="R203" s="1269"/>
      <c r="S203" s="616"/>
      <c r="T203" s="616">
        <v>26000</v>
      </c>
      <c r="U203" s="616"/>
      <c r="V203" s="616"/>
      <c r="W203" s="616"/>
      <c r="X203" s="616"/>
      <c r="Y203" s="616"/>
      <c r="Z203" s="616"/>
      <c r="AA203" s="616"/>
      <c r="AB203" s="616"/>
      <c r="AC203" s="694"/>
      <c r="AD203" s="616"/>
      <c r="AE203" s="616"/>
      <c r="AF203" s="616"/>
      <c r="AG203" s="34"/>
      <c r="AN203" s="9"/>
      <c r="AO203" s="2"/>
      <c r="AP203" s="2"/>
      <c r="AQ203" s="2"/>
      <c r="AR203" s="2"/>
    </row>
    <row r="204" spans="1:44">
      <c r="A204" s="1256" t="s">
        <v>1192</v>
      </c>
      <c r="C204" s="613"/>
      <c r="D204" s="987"/>
      <c r="E204" s="1110"/>
      <c r="F204" s="616"/>
      <c r="G204" s="616"/>
      <c r="H204" s="616"/>
      <c r="I204" s="616"/>
      <c r="J204" s="616"/>
      <c r="K204" s="616"/>
      <c r="L204" s="616"/>
      <c r="M204" s="616"/>
      <c r="N204" s="616"/>
      <c r="O204" s="616"/>
      <c r="P204" s="616"/>
      <c r="Q204" s="616"/>
      <c r="R204" s="1269"/>
      <c r="S204" s="616"/>
      <c r="T204" s="616"/>
      <c r="U204" s="616"/>
      <c r="V204" s="616"/>
      <c r="W204" s="616">
        <v>-43000</v>
      </c>
      <c r="X204" s="616"/>
      <c r="Y204" s="616"/>
      <c r="Z204" s="616"/>
      <c r="AA204" s="616"/>
      <c r="AB204" s="616"/>
      <c r="AC204" s="694"/>
      <c r="AD204" s="616"/>
      <c r="AE204" s="616"/>
      <c r="AF204" s="616"/>
      <c r="AG204" s="34"/>
      <c r="AN204" s="9"/>
      <c r="AO204" s="2"/>
      <c r="AP204" s="2"/>
      <c r="AQ204" s="2"/>
      <c r="AR204" s="2"/>
    </row>
    <row r="205" spans="1:44">
      <c r="A205" s="1256" t="s">
        <v>1238</v>
      </c>
      <c r="C205" s="613"/>
      <c r="D205" s="987"/>
      <c r="E205" s="1110"/>
      <c r="F205" s="616"/>
      <c r="G205" s="616"/>
      <c r="H205" s="616"/>
      <c r="I205" s="616"/>
      <c r="J205" s="616"/>
      <c r="K205" s="616"/>
      <c r="L205" s="616"/>
      <c r="M205" s="616"/>
      <c r="N205" s="616"/>
      <c r="O205" s="616"/>
      <c r="P205" s="616"/>
      <c r="Q205" s="616"/>
      <c r="R205" s="1269"/>
      <c r="S205" s="616"/>
      <c r="T205" s="616">
        <v>17000</v>
      </c>
      <c r="U205" s="616"/>
      <c r="V205" s="616"/>
      <c r="W205" s="616">
        <v>-217000</v>
      </c>
      <c r="X205" s="616"/>
      <c r="Y205" s="616"/>
      <c r="Z205" s="616"/>
      <c r="AA205" s="616"/>
      <c r="AB205" s="616"/>
      <c r="AC205" s="694"/>
      <c r="AD205" s="616"/>
      <c r="AE205" s="616"/>
      <c r="AF205" s="616"/>
      <c r="AG205" s="34"/>
      <c r="AN205" s="9"/>
      <c r="AO205" s="2"/>
      <c r="AP205" s="2"/>
      <c r="AQ205" s="2"/>
      <c r="AR205" s="2"/>
    </row>
    <row r="206" spans="1:44">
      <c r="A206" s="1256" t="s">
        <v>362</v>
      </c>
      <c r="C206" s="613"/>
      <c r="D206" s="987"/>
      <c r="E206" s="1110"/>
      <c r="F206" s="616"/>
      <c r="G206" s="616"/>
      <c r="H206" s="616"/>
      <c r="I206" s="616"/>
      <c r="J206" s="616"/>
      <c r="K206" s="616"/>
      <c r="L206" s="616"/>
      <c r="M206" s="616"/>
      <c r="N206" s="616"/>
      <c r="O206" s="616"/>
      <c r="P206" s="616"/>
      <c r="Q206" s="616"/>
      <c r="R206" s="1269"/>
      <c r="S206" s="616"/>
      <c r="T206" s="616">
        <v>-72000</v>
      </c>
      <c r="U206" s="616">
        <v>-2000</v>
      </c>
      <c r="V206" s="616"/>
      <c r="W206" s="616">
        <v>-36000</v>
      </c>
      <c r="X206" s="616"/>
      <c r="Y206" s="616"/>
      <c r="Z206" s="616"/>
      <c r="AA206" s="616"/>
      <c r="AB206" s="616"/>
      <c r="AC206" s="694"/>
      <c r="AD206" s="616"/>
      <c r="AE206" s="616"/>
      <c r="AF206" s="616"/>
      <c r="AG206" s="34"/>
      <c r="AN206" s="9"/>
      <c r="AO206" s="2"/>
      <c r="AP206" s="2"/>
      <c r="AQ206" s="2"/>
      <c r="AR206" s="2"/>
    </row>
    <row r="207" spans="1:44">
      <c r="A207" s="1256" t="s">
        <v>1232</v>
      </c>
      <c r="C207" s="613"/>
      <c r="D207" s="987"/>
      <c r="E207" s="1110"/>
      <c r="F207" s="616"/>
      <c r="G207" s="616"/>
      <c r="H207" s="616"/>
      <c r="I207" s="616"/>
      <c r="J207" s="616"/>
      <c r="K207" s="616"/>
      <c r="L207" s="616"/>
      <c r="M207" s="616"/>
      <c r="N207" s="616"/>
      <c r="O207" s="616"/>
      <c r="P207" s="616"/>
      <c r="Q207" s="616"/>
      <c r="R207" s="1269"/>
      <c r="S207" s="616"/>
      <c r="T207" s="616">
        <v>-8000</v>
      </c>
      <c r="U207" s="616"/>
      <c r="V207" s="616"/>
      <c r="W207" s="616"/>
      <c r="X207" s="616"/>
      <c r="Y207" s="616"/>
      <c r="Z207" s="616"/>
      <c r="AA207" s="616"/>
      <c r="AB207" s="616"/>
      <c r="AC207" s="694"/>
      <c r="AD207" s="616"/>
      <c r="AE207" s="616"/>
      <c r="AF207" s="616"/>
      <c r="AG207" s="34"/>
      <c r="AN207" s="9"/>
      <c r="AO207" s="2"/>
      <c r="AP207" s="2"/>
      <c r="AQ207" s="2"/>
      <c r="AR207" s="2"/>
    </row>
    <row r="208" spans="1:44">
      <c r="A208" s="1256" t="s">
        <v>1236</v>
      </c>
      <c r="C208" s="613"/>
      <c r="D208" s="987"/>
      <c r="E208" s="1110"/>
      <c r="F208" s="616"/>
      <c r="G208" s="616"/>
      <c r="H208" s="616"/>
      <c r="I208" s="616"/>
      <c r="J208" s="616"/>
      <c r="K208" s="616"/>
      <c r="L208" s="616"/>
      <c r="M208" s="616"/>
      <c r="N208" s="616"/>
      <c r="O208" s="616"/>
      <c r="P208" s="616"/>
      <c r="Q208" s="616"/>
      <c r="R208" s="1269"/>
      <c r="S208" s="616">
        <v>-2000</v>
      </c>
      <c r="T208" s="616">
        <v>13000</v>
      </c>
      <c r="U208" s="616">
        <v>7000</v>
      </c>
      <c r="V208" s="616"/>
      <c r="W208" s="616"/>
      <c r="X208" s="616"/>
      <c r="Y208" s="616"/>
      <c r="Z208" s="616"/>
      <c r="AA208" s="616"/>
      <c r="AB208" s="616"/>
      <c r="AC208" s="694"/>
      <c r="AD208" s="616"/>
      <c r="AE208" s="616"/>
      <c r="AF208" s="616"/>
      <c r="AG208" s="34"/>
      <c r="AN208" s="9"/>
      <c r="AO208" s="2"/>
      <c r="AP208" s="2"/>
      <c r="AQ208" s="2"/>
      <c r="AR208" s="2"/>
    </row>
    <row r="209" spans="1:44">
      <c r="A209" s="1422" t="s">
        <v>1191</v>
      </c>
      <c r="B209" s="1121"/>
      <c r="C209" s="1120"/>
      <c r="D209" s="707"/>
      <c r="E209" s="1158"/>
      <c r="F209" s="1326"/>
      <c r="G209" s="1326"/>
      <c r="H209" s="1326"/>
      <c r="I209" s="1326"/>
      <c r="J209" s="1326"/>
      <c r="K209" s="1326"/>
      <c r="L209" s="1326"/>
      <c r="M209" s="1326"/>
      <c r="N209" s="1326"/>
      <c r="O209" s="1326"/>
      <c r="P209" s="1326"/>
      <c r="Q209" s="1326"/>
      <c r="R209" s="1269"/>
      <c r="S209" s="616">
        <v>-5000</v>
      </c>
      <c r="T209" s="616">
        <v>-4000</v>
      </c>
      <c r="U209" s="616">
        <v>-11000</v>
      </c>
      <c r="V209" s="616">
        <v>-24000</v>
      </c>
      <c r="W209" s="616">
        <v>-10000</v>
      </c>
      <c r="X209" s="616">
        <v>-7000</v>
      </c>
      <c r="Y209" s="616"/>
      <c r="Z209" s="616"/>
      <c r="AA209" s="616"/>
      <c r="AB209" s="616"/>
      <c r="AC209" s="694"/>
      <c r="AD209" s="616"/>
      <c r="AE209" s="616"/>
      <c r="AF209" s="616"/>
      <c r="AG209" s="34"/>
      <c r="AN209" s="9"/>
      <c r="AO209" s="2"/>
      <c r="AP209" s="2"/>
      <c r="AQ209" s="2"/>
      <c r="AR209" s="2"/>
    </row>
    <row r="210" spans="1:44">
      <c r="A210" s="1422" t="s">
        <v>1200</v>
      </c>
      <c r="B210" s="1121"/>
      <c r="C210" s="1120"/>
      <c r="D210" s="707"/>
      <c r="E210" s="1158"/>
      <c r="F210" s="1326"/>
      <c r="G210" s="1326"/>
      <c r="H210" s="1326"/>
      <c r="I210" s="1326"/>
      <c r="J210" s="1326"/>
      <c r="K210" s="1326"/>
      <c r="L210" s="1326"/>
      <c r="M210" s="1326"/>
      <c r="N210" s="1326"/>
      <c r="O210" s="1326"/>
      <c r="P210" s="1326"/>
      <c r="Q210" s="1326"/>
      <c r="R210" s="1269"/>
      <c r="S210" s="616"/>
      <c r="T210" s="616"/>
      <c r="U210" s="616"/>
      <c r="V210" s="616"/>
      <c r="W210" s="616"/>
      <c r="X210" s="616">
        <v>-5000</v>
      </c>
      <c r="Y210" s="616"/>
      <c r="Z210" s="616">
        <v>2000</v>
      </c>
      <c r="AA210" s="616">
        <v>-5000</v>
      </c>
      <c r="AB210" s="616"/>
      <c r="AC210" s="694"/>
      <c r="AD210" s="616"/>
      <c r="AE210" s="616"/>
      <c r="AF210" s="616"/>
      <c r="AG210" s="34"/>
      <c r="AN210" s="9"/>
      <c r="AO210" s="2"/>
      <c r="AP210" s="2"/>
      <c r="AQ210" s="2"/>
      <c r="AR210" s="2"/>
    </row>
    <row r="211" spans="1:44">
      <c r="A211" s="1256" t="s">
        <v>1233</v>
      </c>
      <c r="C211" s="613"/>
      <c r="D211" s="987"/>
      <c r="E211" s="1110"/>
      <c r="F211" s="616"/>
      <c r="G211" s="616"/>
      <c r="H211" s="616"/>
      <c r="I211" s="616"/>
      <c r="J211" s="616"/>
      <c r="K211" s="616"/>
      <c r="L211" s="616"/>
      <c r="M211" s="616"/>
      <c r="N211" s="616"/>
      <c r="O211" s="616"/>
      <c r="P211" s="616"/>
      <c r="Q211" s="616"/>
      <c r="R211" s="1269"/>
      <c r="S211" s="616">
        <v>28000</v>
      </c>
      <c r="T211" s="616"/>
      <c r="U211" s="616"/>
      <c r="V211" s="616"/>
      <c r="W211" s="616"/>
      <c r="X211" s="616"/>
      <c r="Y211" s="616"/>
      <c r="Z211" s="616"/>
      <c r="AA211" s="616"/>
      <c r="AB211" s="616"/>
      <c r="AC211" s="694"/>
      <c r="AD211" s="616"/>
      <c r="AE211" s="616"/>
      <c r="AF211" s="616"/>
      <c r="AG211" s="34"/>
      <c r="AN211" s="9"/>
      <c r="AO211" s="2"/>
      <c r="AP211" s="2"/>
      <c r="AQ211" s="2"/>
      <c r="AR211" s="2"/>
    </row>
    <row r="212" spans="1:44">
      <c r="A212" s="1256" t="s">
        <v>1237</v>
      </c>
      <c r="C212" s="613"/>
      <c r="D212" s="987"/>
      <c r="E212" s="1110"/>
      <c r="F212" s="616"/>
      <c r="G212" s="616"/>
      <c r="H212" s="616"/>
      <c r="I212" s="616"/>
      <c r="J212" s="616"/>
      <c r="K212" s="616"/>
      <c r="L212" s="616"/>
      <c r="M212" s="616"/>
      <c r="N212" s="616"/>
      <c r="O212" s="616"/>
      <c r="P212" s="616"/>
      <c r="Q212" s="702"/>
      <c r="R212" s="1269"/>
      <c r="S212" s="702"/>
      <c r="T212" s="702"/>
      <c r="U212" s="702"/>
      <c r="V212" s="702">
        <v>16000</v>
      </c>
      <c r="W212" s="702">
        <v>4000</v>
      </c>
      <c r="X212" s="702"/>
      <c r="Y212" s="702"/>
      <c r="Z212" s="702"/>
      <c r="AA212" s="702"/>
      <c r="AB212" s="702"/>
      <c r="AC212" s="694"/>
      <c r="AD212" s="616"/>
      <c r="AE212" s="616"/>
      <c r="AF212" s="616"/>
      <c r="AG212" s="34"/>
      <c r="AN212" s="9"/>
      <c r="AO212" s="2"/>
      <c r="AP212" s="2"/>
      <c r="AQ212" s="2"/>
      <c r="AR212" s="2"/>
    </row>
    <row r="213" spans="1:44">
      <c r="A213" s="1256" t="s">
        <v>1258</v>
      </c>
      <c r="C213" s="613"/>
      <c r="D213" s="987"/>
      <c r="E213" s="1110"/>
      <c r="F213" s="616"/>
      <c r="G213" s="616"/>
      <c r="H213" s="616"/>
      <c r="I213" s="616"/>
      <c r="J213" s="616"/>
      <c r="K213" s="616"/>
      <c r="L213" s="616"/>
      <c r="M213" s="616"/>
      <c r="N213" s="616"/>
      <c r="O213" s="616"/>
      <c r="P213" s="616"/>
      <c r="Q213" s="616"/>
      <c r="R213" s="1269">
        <v>0</v>
      </c>
      <c r="S213" s="616">
        <v>21000</v>
      </c>
      <c r="T213" s="616">
        <v>-28000</v>
      </c>
      <c r="U213" s="616">
        <v>1000</v>
      </c>
      <c r="V213" s="616">
        <v>-8000</v>
      </c>
      <c r="W213" s="616">
        <v>-302000</v>
      </c>
      <c r="X213" s="616">
        <v>-12000</v>
      </c>
      <c r="Y213" s="616">
        <v>0</v>
      </c>
      <c r="Z213" s="616">
        <v>7000</v>
      </c>
      <c r="AA213" s="616">
        <v>-5000</v>
      </c>
      <c r="AB213" s="616">
        <v>0</v>
      </c>
      <c r="AC213" s="694"/>
      <c r="AD213" s="616"/>
      <c r="AE213" s="616"/>
      <c r="AF213" s="616"/>
      <c r="AG213" s="34"/>
      <c r="AN213" s="9"/>
      <c r="AO213" s="2"/>
      <c r="AP213" s="2"/>
      <c r="AQ213" s="2"/>
      <c r="AR213" s="2"/>
    </row>
    <row r="214" spans="1:44">
      <c r="A214" s="1256" t="s">
        <v>1179</v>
      </c>
      <c r="C214" s="613"/>
      <c r="D214" s="987"/>
      <c r="E214" s="1110"/>
      <c r="F214" s="616"/>
      <c r="G214" s="616"/>
      <c r="H214" s="616"/>
      <c r="I214" s="616"/>
      <c r="J214" s="616"/>
      <c r="K214" s="616"/>
      <c r="L214" s="616"/>
      <c r="M214" s="616"/>
      <c r="N214" s="616"/>
      <c r="O214" s="616"/>
      <c r="P214" s="616"/>
      <c r="Q214" s="616"/>
      <c r="R214" s="1269"/>
      <c r="S214" s="702">
        <v>0</v>
      </c>
      <c r="T214" s="702">
        <v>0</v>
      </c>
      <c r="U214" s="702">
        <v>0</v>
      </c>
      <c r="V214" s="702">
        <v>17000</v>
      </c>
      <c r="W214" s="702">
        <v>100000</v>
      </c>
      <c r="X214" s="702">
        <v>-2000</v>
      </c>
      <c r="Y214" s="702">
        <v>-1000</v>
      </c>
      <c r="Z214" s="702">
        <v>-5000</v>
      </c>
      <c r="AA214" s="702">
        <v>1000</v>
      </c>
      <c r="AB214" s="702">
        <v>0</v>
      </c>
      <c r="AC214" s="694"/>
      <c r="AD214" s="616"/>
      <c r="AE214" s="616"/>
      <c r="AF214" s="616"/>
      <c r="AG214" s="34"/>
      <c r="AN214" s="9"/>
      <c r="AO214" s="2"/>
      <c r="AP214" s="2"/>
      <c r="AQ214" s="2"/>
      <c r="AR214" s="2"/>
    </row>
    <row r="215" spans="1:44">
      <c r="A215" s="1120" t="s">
        <v>1410</v>
      </c>
      <c r="C215" s="613"/>
      <c r="D215" s="987"/>
      <c r="E215" s="1110"/>
      <c r="F215" s="616"/>
      <c r="G215" s="616"/>
      <c r="H215" s="616"/>
      <c r="I215" s="616"/>
      <c r="J215" s="616"/>
      <c r="K215" s="616"/>
      <c r="L215" s="616"/>
      <c r="M215" s="616"/>
      <c r="N215" s="616"/>
      <c r="O215" s="616"/>
      <c r="P215" s="616"/>
      <c r="Q215" s="616"/>
      <c r="R215" s="616"/>
      <c r="S215" s="616">
        <v>21000</v>
      </c>
      <c r="T215" s="616">
        <v>-28000</v>
      </c>
      <c r="U215" s="616">
        <v>1000</v>
      </c>
      <c r="V215" s="616">
        <v>9000</v>
      </c>
      <c r="W215" s="616">
        <v>-202000</v>
      </c>
      <c r="X215" s="616">
        <v>-14000</v>
      </c>
      <c r="Y215" s="616">
        <v>-1000</v>
      </c>
      <c r="Z215" s="616">
        <v>2000</v>
      </c>
      <c r="AA215" s="616">
        <v>-4000</v>
      </c>
      <c r="AB215" s="616">
        <v>0</v>
      </c>
      <c r="AC215" s="694"/>
      <c r="AD215" s="616"/>
      <c r="AE215" s="616"/>
      <c r="AF215" s="616"/>
      <c r="AG215" s="34"/>
      <c r="AN215" s="9"/>
      <c r="AO215" s="2"/>
      <c r="AP215" s="2"/>
      <c r="AQ215" s="2"/>
      <c r="AR215" s="2"/>
    </row>
    <row r="216" spans="1:44">
      <c r="A216" s="1120"/>
      <c r="C216" s="613"/>
      <c r="D216" s="987"/>
      <c r="E216" s="1110"/>
      <c r="F216" s="616"/>
      <c r="G216" s="616"/>
      <c r="H216" s="616"/>
      <c r="I216" s="616"/>
      <c r="J216" s="616"/>
      <c r="K216" s="616"/>
      <c r="L216" s="616"/>
      <c r="M216" s="616"/>
      <c r="N216" s="616"/>
      <c r="O216" s="616"/>
      <c r="P216" s="616"/>
      <c r="Q216" s="616"/>
      <c r="R216" s="616"/>
      <c r="S216" s="616"/>
      <c r="T216" s="616"/>
      <c r="U216" s="616"/>
      <c r="V216" s="616"/>
      <c r="W216" s="616"/>
      <c r="X216" s="616"/>
      <c r="Y216" s="616"/>
      <c r="Z216" s="616"/>
      <c r="AA216" s="616"/>
      <c r="AB216" s="616"/>
      <c r="AC216" s="694"/>
      <c r="AD216" s="616"/>
      <c r="AE216" s="616"/>
      <c r="AF216" s="616"/>
      <c r="AG216" s="34"/>
      <c r="AN216" s="9"/>
      <c r="AO216" s="2"/>
      <c r="AP216" s="2"/>
      <c r="AQ216" s="2"/>
      <c r="AR216" s="2"/>
    </row>
    <row r="217" spans="1:44">
      <c r="A217" s="1471" t="s">
        <v>1346</v>
      </c>
      <c r="B217" s="4"/>
      <c r="C217" s="721"/>
      <c r="D217" s="1472"/>
      <c r="E217" s="1110"/>
      <c r="F217" s="616"/>
      <c r="G217" s="616"/>
      <c r="H217" s="616"/>
      <c r="I217" s="616"/>
      <c r="J217" s="616"/>
      <c r="K217" s="616"/>
      <c r="L217" s="616"/>
      <c r="M217" s="616"/>
      <c r="N217" s="616"/>
      <c r="O217" s="616"/>
      <c r="P217" s="616"/>
      <c r="Q217" s="616"/>
      <c r="R217" s="616"/>
      <c r="S217" s="616"/>
      <c r="T217" s="616"/>
      <c r="U217" s="616"/>
      <c r="V217" s="616"/>
      <c r="W217" s="616"/>
      <c r="X217" s="616"/>
      <c r="Y217" s="616"/>
      <c r="Z217" s="616"/>
      <c r="AA217" s="616"/>
      <c r="AB217" s="616"/>
      <c r="AC217" s="694"/>
      <c r="AD217" s="616"/>
      <c r="AE217" s="616"/>
      <c r="AF217" s="616"/>
      <c r="AG217" s="34"/>
      <c r="AN217" s="9"/>
      <c r="AO217" s="2"/>
      <c r="AP217" s="2"/>
      <c r="AQ217" s="2"/>
      <c r="AR217" s="2"/>
    </row>
    <row r="218" spans="1:44">
      <c r="A218" s="1120" t="s">
        <v>1360</v>
      </c>
      <c r="B218" s="1121"/>
      <c r="C218" s="1120"/>
      <c r="D218" s="1121"/>
      <c r="E218" s="1110"/>
      <c r="F218" s="616"/>
      <c r="G218" s="616"/>
      <c r="H218" s="616"/>
      <c r="I218" s="616"/>
      <c r="J218" s="616"/>
      <c r="K218" s="616"/>
      <c r="L218" s="616"/>
      <c r="M218" s="616"/>
      <c r="N218" s="616"/>
      <c r="O218" s="616"/>
      <c r="P218" s="616"/>
      <c r="Q218" s="616"/>
      <c r="R218" s="616"/>
      <c r="S218" s="616"/>
      <c r="T218" s="616"/>
      <c r="U218" s="616"/>
      <c r="V218" s="616"/>
      <c r="W218" s="616"/>
      <c r="X218" s="616"/>
      <c r="Y218" s="616"/>
      <c r="Z218" s="616"/>
      <c r="AA218" s="616"/>
      <c r="AB218" s="616"/>
      <c r="AC218" s="694"/>
      <c r="AD218" s="616"/>
      <c r="AE218" s="616"/>
      <c r="AF218" s="616"/>
      <c r="AG218" s="34"/>
      <c r="AN218" s="9"/>
      <c r="AO218" s="2"/>
      <c r="AP218" s="2"/>
      <c r="AQ218" s="2"/>
      <c r="AR218" s="2"/>
    </row>
    <row r="219" spans="1:44">
      <c r="A219" s="1256" t="s">
        <v>1191</v>
      </c>
      <c r="C219" s="613"/>
      <c r="D219" s="987"/>
      <c r="E219" s="1110"/>
      <c r="F219" s="616"/>
      <c r="G219" s="616"/>
      <c r="H219" s="616"/>
      <c r="I219" s="616"/>
      <c r="J219" s="616"/>
      <c r="K219" s="616"/>
      <c r="L219" s="616"/>
      <c r="M219" s="616"/>
      <c r="N219" s="616"/>
      <c r="O219" s="616"/>
      <c r="P219" s="616"/>
      <c r="Q219" s="616"/>
      <c r="R219" s="1269"/>
      <c r="S219" s="616">
        <v>-5000</v>
      </c>
      <c r="T219" s="616">
        <v>-4000</v>
      </c>
      <c r="U219" s="616">
        <v>-11000</v>
      </c>
      <c r="V219" s="616">
        <v>-24000</v>
      </c>
      <c r="W219" s="616">
        <v>-10000</v>
      </c>
      <c r="X219" s="616">
        <v>-7000</v>
      </c>
      <c r="Y219" s="616">
        <v>-2000</v>
      </c>
      <c r="Z219" s="616"/>
      <c r="AA219" s="616"/>
      <c r="AB219" s="616"/>
      <c r="AC219" s="694"/>
      <c r="AD219" s="616"/>
      <c r="AE219" s="616"/>
      <c r="AF219" s="616"/>
      <c r="AG219" s="34"/>
      <c r="AN219" s="9"/>
      <c r="AO219" s="2"/>
      <c r="AP219" s="2"/>
      <c r="AQ219" s="2"/>
      <c r="AR219" s="2"/>
    </row>
    <row r="220" spans="1:44">
      <c r="A220" s="1256" t="s">
        <v>1200</v>
      </c>
      <c r="C220" s="613"/>
      <c r="D220" s="987"/>
      <c r="E220" s="1110"/>
      <c r="F220" s="616"/>
      <c r="G220" s="616"/>
      <c r="H220" s="616"/>
      <c r="I220" s="616"/>
      <c r="J220" s="616"/>
      <c r="K220" s="616"/>
      <c r="L220" s="616"/>
      <c r="M220" s="616"/>
      <c r="N220" s="616"/>
      <c r="O220" s="616"/>
      <c r="P220" s="616"/>
      <c r="Q220" s="616"/>
      <c r="R220" s="1269"/>
      <c r="S220" s="616"/>
      <c r="T220" s="616"/>
      <c r="U220" s="616"/>
      <c r="V220" s="616"/>
      <c r="W220" s="616"/>
      <c r="X220" s="616">
        <v>-5000</v>
      </c>
      <c r="Y220" s="616"/>
      <c r="Z220" s="616">
        <v>2000</v>
      </c>
      <c r="AA220" s="616">
        <v>-5000</v>
      </c>
      <c r="AB220" s="616"/>
      <c r="AC220" s="694"/>
      <c r="AD220" s="616"/>
      <c r="AE220" s="616"/>
      <c r="AF220" s="616"/>
      <c r="AG220" s="34"/>
      <c r="AN220" s="9"/>
      <c r="AO220" s="2"/>
      <c r="AP220" s="2"/>
      <c r="AQ220" s="2"/>
      <c r="AR220" s="2"/>
    </row>
    <row r="221" spans="1:44">
      <c r="A221" s="1111"/>
      <c r="C221" s="613"/>
      <c r="D221" s="987"/>
      <c r="E221" s="1110"/>
      <c r="F221" s="616"/>
      <c r="G221" s="616"/>
      <c r="H221" s="616"/>
      <c r="I221" s="616"/>
      <c r="J221" s="616"/>
      <c r="K221" s="616"/>
      <c r="L221" s="616"/>
      <c r="M221" s="616"/>
      <c r="N221" s="616"/>
      <c r="O221" s="616"/>
      <c r="P221" s="616"/>
      <c r="Q221" s="616"/>
      <c r="R221" s="1269"/>
      <c r="S221" s="616">
        <v>-4000</v>
      </c>
      <c r="T221" s="616">
        <v>50000</v>
      </c>
      <c r="U221" s="616">
        <v>6000</v>
      </c>
      <c r="V221" s="616">
        <v>2000</v>
      </c>
      <c r="W221" s="616">
        <v>-5000</v>
      </c>
      <c r="X221" s="616">
        <v>-3000</v>
      </c>
      <c r="Y221" s="616">
        <v>-3000</v>
      </c>
      <c r="Z221" s="616">
        <v>-4000</v>
      </c>
      <c r="AA221" s="616">
        <v>-3000</v>
      </c>
      <c r="AB221" s="616">
        <v>-2000</v>
      </c>
      <c r="AC221" s="694"/>
      <c r="AD221" s="616"/>
      <c r="AE221" s="616"/>
      <c r="AF221" s="616"/>
      <c r="AG221" s="34"/>
      <c r="AN221" s="9"/>
      <c r="AO221" s="2"/>
      <c r="AP221" s="2"/>
      <c r="AQ221" s="2"/>
      <c r="AR221" s="2"/>
    </row>
    <row r="222" spans="1:44">
      <c r="A222" s="34"/>
      <c r="C222" s="613"/>
      <c r="D222" s="729"/>
      <c r="E222" s="1110"/>
      <c r="F222" s="616"/>
      <c r="G222" s="616"/>
      <c r="H222" s="616"/>
      <c r="I222" s="616"/>
      <c r="J222" s="616"/>
      <c r="K222" s="616"/>
      <c r="L222" s="616"/>
      <c r="M222" s="616"/>
      <c r="N222" s="616"/>
      <c r="O222" s="616"/>
      <c r="P222" s="616"/>
      <c r="Q222" s="616">
        <v>0</v>
      </c>
      <c r="R222" s="1269"/>
      <c r="S222" s="616">
        <v>2000</v>
      </c>
      <c r="T222" s="616">
        <v>26000</v>
      </c>
      <c r="U222" s="616">
        <v>7000</v>
      </c>
      <c r="V222" s="616">
        <v>16000</v>
      </c>
      <c r="W222" s="616"/>
      <c r="X222" s="616">
        <v>-5000</v>
      </c>
      <c r="Y222" s="616"/>
      <c r="Z222" s="616">
        <v>-3000</v>
      </c>
      <c r="AA222" s="616">
        <v>-10000</v>
      </c>
      <c r="AB222" s="616">
        <v>-2000</v>
      </c>
      <c r="AC222" s="694"/>
      <c r="AD222" s="616"/>
      <c r="AE222" s="616"/>
      <c r="AF222" s="616"/>
      <c r="AG222" s="34"/>
      <c r="AN222" s="9"/>
      <c r="AO222" s="2"/>
      <c r="AP222" s="2"/>
      <c r="AQ222" s="2"/>
      <c r="AR222" s="2"/>
    </row>
    <row r="223" spans="1:44">
      <c r="A223" s="1111"/>
      <c r="C223" s="613"/>
      <c r="D223" s="729"/>
      <c r="E223" s="1110"/>
      <c r="F223" s="616"/>
      <c r="G223" s="616"/>
      <c r="H223" s="616"/>
      <c r="I223" s="616"/>
      <c r="J223" s="616"/>
      <c r="K223" s="616"/>
      <c r="L223" s="616"/>
      <c r="M223" s="616"/>
      <c r="N223" s="616"/>
      <c r="O223" s="616"/>
      <c r="P223" s="616"/>
      <c r="Q223" s="616">
        <v>0</v>
      </c>
      <c r="R223" s="1269"/>
      <c r="S223" s="616">
        <v>-2000</v>
      </c>
      <c r="T223" s="616">
        <v>17000</v>
      </c>
      <c r="U223" s="616">
        <v>7000</v>
      </c>
      <c r="V223" s="616">
        <v>-4000</v>
      </c>
      <c r="W223" s="616"/>
      <c r="X223" s="616"/>
      <c r="Y223" s="616"/>
      <c r="Z223" s="616"/>
      <c r="AA223" s="616"/>
      <c r="AB223" s="616"/>
      <c r="AC223" s="694"/>
      <c r="AD223" s="616"/>
      <c r="AE223" s="616"/>
      <c r="AF223" s="616"/>
      <c r="AG223" s="34"/>
      <c r="AN223" s="9"/>
      <c r="AO223" s="2"/>
      <c r="AP223" s="2"/>
      <c r="AQ223" s="2"/>
      <c r="AR223" s="2"/>
    </row>
    <row r="224" spans="1:44">
      <c r="A224" s="34"/>
      <c r="C224" s="613"/>
      <c r="D224" s="729"/>
      <c r="E224" s="1110"/>
      <c r="F224" s="616"/>
      <c r="G224" s="616"/>
      <c r="H224" s="616"/>
      <c r="I224" s="616"/>
      <c r="J224" s="616"/>
      <c r="K224" s="616"/>
      <c r="L224" s="616"/>
      <c r="M224" s="616"/>
      <c r="N224" s="616"/>
      <c r="O224" s="616"/>
      <c r="P224" s="616"/>
      <c r="Q224" s="616">
        <v>0</v>
      </c>
      <c r="R224" s="1269"/>
      <c r="S224" s="616">
        <v>-3000</v>
      </c>
      <c r="T224" s="616">
        <v>-8000</v>
      </c>
      <c r="U224" s="616">
        <v>-4000</v>
      </c>
      <c r="V224" s="616"/>
      <c r="W224" s="616"/>
      <c r="X224" s="616"/>
      <c r="Y224" s="616"/>
      <c r="Z224" s="616"/>
      <c r="AA224" s="616"/>
      <c r="AB224" s="616"/>
      <c r="AC224" s="694"/>
      <c r="AD224" s="616"/>
      <c r="AE224" s="616"/>
      <c r="AF224" s="616"/>
      <c r="AG224" s="34"/>
      <c r="AN224" s="9"/>
      <c r="AO224" s="2"/>
      <c r="AP224" s="2"/>
      <c r="AQ224" s="2"/>
      <c r="AR224" s="2"/>
    </row>
    <row r="225" spans="1:44">
      <c r="A225" s="34"/>
      <c r="C225" s="613"/>
      <c r="D225" s="729"/>
      <c r="E225" s="1110"/>
      <c r="F225" s="616"/>
      <c r="G225" s="616"/>
      <c r="H225" s="616"/>
      <c r="I225" s="616"/>
      <c r="J225" s="616"/>
      <c r="K225" s="616"/>
      <c r="L225" s="616"/>
      <c r="M225" s="616"/>
      <c r="N225" s="616"/>
      <c r="O225" s="616"/>
      <c r="P225" s="616"/>
      <c r="Q225" s="616">
        <v>0</v>
      </c>
      <c r="R225" s="1269"/>
      <c r="S225" s="616"/>
      <c r="T225" s="616">
        <v>13000</v>
      </c>
      <c r="U225" s="616"/>
      <c r="V225" s="616"/>
      <c r="W225" s="616"/>
      <c r="X225" s="616"/>
      <c r="Y225" s="616"/>
      <c r="Z225" s="616"/>
      <c r="AA225" s="616"/>
      <c r="AB225" s="616"/>
      <c r="AC225" s="694"/>
      <c r="AD225" s="616"/>
      <c r="AE225" s="616"/>
      <c r="AF225" s="616"/>
      <c r="AG225" s="34"/>
      <c r="AN225" s="9"/>
      <c r="AO225" s="2"/>
      <c r="AP225" s="2"/>
      <c r="AQ225" s="2"/>
      <c r="AR225" s="2"/>
    </row>
    <row r="226" spans="1:44">
      <c r="A226" s="34"/>
      <c r="C226" s="613"/>
      <c r="D226" s="729"/>
      <c r="E226" s="1110"/>
      <c r="F226" s="616"/>
      <c r="G226" s="616"/>
      <c r="H226" s="616"/>
      <c r="I226" s="616"/>
      <c r="J226" s="616"/>
      <c r="K226" s="616"/>
      <c r="L226" s="616"/>
      <c r="M226" s="616"/>
      <c r="N226" s="616"/>
      <c r="O226" s="616"/>
      <c r="P226" s="616"/>
      <c r="Q226" s="616"/>
      <c r="R226" s="1269"/>
      <c r="S226" s="616"/>
      <c r="T226" s="616">
        <v>6000</v>
      </c>
      <c r="U226" s="616"/>
      <c r="V226" s="616"/>
      <c r="W226" s="616"/>
      <c r="X226" s="616"/>
      <c r="Y226" s="616"/>
      <c r="Z226" s="616"/>
      <c r="AA226" s="616"/>
      <c r="AB226" s="616"/>
      <c r="AC226" s="694"/>
      <c r="AD226" s="616"/>
      <c r="AE226" s="616"/>
      <c r="AF226" s="616"/>
      <c r="AG226" s="34"/>
      <c r="AN226" s="9"/>
      <c r="AO226" s="2"/>
      <c r="AP226" s="2"/>
      <c r="AQ226" s="2"/>
      <c r="AR226" s="2"/>
    </row>
    <row r="227" spans="1:44">
      <c r="A227" s="34"/>
      <c r="C227" s="613"/>
      <c r="D227" s="729"/>
      <c r="E227" s="1110"/>
      <c r="F227" s="616"/>
      <c r="G227" s="616"/>
      <c r="H227" s="616"/>
      <c r="I227" s="616"/>
      <c r="J227" s="616"/>
      <c r="K227" s="616"/>
      <c r="L227" s="616"/>
      <c r="M227" s="616"/>
      <c r="N227" s="616"/>
      <c r="O227" s="616"/>
      <c r="P227" s="616"/>
      <c r="Q227" s="616"/>
      <c r="R227" s="1269"/>
      <c r="S227" s="1315"/>
      <c r="T227" s="702">
        <v>-4000</v>
      </c>
      <c r="U227" s="702"/>
      <c r="V227" s="702"/>
      <c r="W227" s="702"/>
      <c r="X227" s="702"/>
      <c r="Y227" s="702"/>
      <c r="Z227" s="702"/>
      <c r="AA227" s="702"/>
      <c r="AB227" s="702"/>
      <c r="AC227" s="694"/>
      <c r="AD227" s="616"/>
      <c r="AE227" s="616"/>
      <c r="AF227" s="616"/>
      <c r="AG227" s="34"/>
      <c r="AN227" s="9"/>
      <c r="AO227" s="2"/>
      <c r="AP227" s="2"/>
      <c r="AQ227" s="2"/>
      <c r="AR227" s="2"/>
    </row>
    <row r="228" spans="1:44">
      <c r="A228" s="1120" t="s">
        <v>1396</v>
      </c>
      <c r="B228" s="1121"/>
      <c r="C228" s="1120"/>
      <c r="D228" s="616"/>
      <c r="E228" s="1110"/>
      <c r="F228" s="616"/>
      <c r="G228" s="616"/>
      <c r="H228" s="616"/>
      <c r="I228" s="616"/>
      <c r="J228" s="616"/>
      <c r="K228" s="616"/>
      <c r="L228" s="616"/>
      <c r="M228" s="616"/>
      <c r="N228" s="616"/>
      <c r="O228" s="616"/>
      <c r="P228" s="616"/>
      <c r="Q228" s="616"/>
      <c r="R228" s="616"/>
      <c r="S228" s="616">
        <v>-12000</v>
      </c>
      <c r="T228" s="616">
        <v>96000</v>
      </c>
      <c r="U228" s="616">
        <v>5000</v>
      </c>
      <c r="V228" s="616">
        <v>-10000</v>
      </c>
      <c r="W228" s="616">
        <v>-15000</v>
      </c>
      <c r="X228" s="616">
        <v>-20000</v>
      </c>
      <c r="Y228" s="616">
        <v>-5000</v>
      </c>
      <c r="Z228" s="616">
        <v>-5000</v>
      </c>
      <c r="AA228" s="616">
        <v>-18000</v>
      </c>
      <c r="AB228" s="616">
        <v>-4000</v>
      </c>
      <c r="AC228" s="694"/>
      <c r="AD228" s="616"/>
      <c r="AE228" s="616"/>
      <c r="AF228" s="616"/>
      <c r="AG228" s="34"/>
      <c r="AN228" s="9"/>
      <c r="AO228" s="2"/>
      <c r="AP228" s="2"/>
      <c r="AQ228" s="2"/>
      <c r="AR228" s="2"/>
    </row>
    <row r="229" spans="1:44">
      <c r="A229" s="1120"/>
      <c r="B229" s="1121"/>
      <c r="C229" s="1120"/>
      <c r="D229" s="616"/>
      <c r="E229" s="1158"/>
      <c r="F229" s="616"/>
      <c r="G229" s="616"/>
      <c r="H229" s="616"/>
      <c r="I229" s="616"/>
      <c r="J229" s="616"/>
      <c r="K229" s="616"/>
      <c r="L229" s="616"/>
      <c r="M229" s="616"/>
      <c r="N229" s="616"/>
      <c r="O229" s="616"/>
      <c r="P229" s="616"/>
      <c r="Q229" s="616"/>
      <c r="R229" s="616"/>
      <c r="S229" s="707"/>
      <c r="T229" s="707"/>
      <c r="U229" s="707"/>
      <c r="V229" s="707"/>
      <c r="W229" s="707"/>
      <c r="X229" s="707"/>
      <c r="Y229" s="707"/>
      <c r="Z229" s="707"/>
      <c r="AA229" s="707"/>
      <c r="AB229" s="707"/>
      <c r="AC229" s="694"/>
      <c r="AD229" s="616"/>
      <c r="AE229" s="616"/>
      <c r="AF229" s="616"/>
      <c r="AG229" s="34"/>
      <c r="AN229" s="9"/>
      <c r="AO229" s="2"/>
      <c r="AP229" s="2"/>
      <c r="AQ229" s="2"/>
      <c r="AR229" s="2"/>
    </row>
    <row r="230" spans="1:44">
      <c r="A230" s="613" t="s">
        <v>1394</v>
      </c>
      <c r="B230" s="616"/>
      <c r="C230" s="616"/>
      <c r="D230" s="616"/>
      <c r="E230" s="616"/>
      <c r="F230" s="616"/>
      <c r="G230" s="616"/>
      <c r="H230" s="616"/>
      <c r="I230" s="616"/>
      <c r="J230" s="616"/>
      <c r="K230" s="616"/>
      <c r="L230" s="616"/>
      <c r="M230" s="616"/>
      <c r="N230" s="616"/>
      <c r="O230" s="616"/>
      <c r="P230" s="616"/>
      <c r="Q230" s="616"/>
      <c r="R230" s="616"/>
      <c r="S230" s="616">
        <v>21000</v>
      </c>
      <c r="T230" s="616">
        <v>-28000</v>
      </c>
      <c r="U230" s="616">
        <v>1000</v>
      </c>
      <c r="V230" s="616">
        <v>26000</v>
      </c>
      <c r="W230" s="616">
        <v>-102000</v>
      </c>
      <c r="X230" s="616">
        <v>-16000</v>
      </c>
      <c r="Y230" s="616">
        <v>-2000</v>
      </c>
      <c r="Z230" s="616">
        <v>-3000</v>
      </c>
      <c r="AA230" s="616">
        <v>-3000</v>
      </c>
      <c r="AB230" s="616">
        <v>0</v>
      </c>
      <c r="AC230" s="694"/>
      <c r="AD230" s="616"/>
      <c r="AE230" s="616"/>
      <c r="AF230" s="616"/>
      <c r="AG230" s="34"/>
      <c r="AN230" s="9"/>
      <c r="AO230" s="2"/>
      <c r="AP230" s="2"/>
      <c r="AQ230" s="2"/>
      <c r="AR230" s="2"/>
    </row>
    <row r="231" spans="1:44">
      <c r="A231" s="739" t="s">
        <v>1259</v>
      </c>
      <c r="B231" s="616"/>
      <c r="C231" s="616"/>
      <c r="D231" s="616"/>
      <c r="E231" s="616"/>
      <c r="F231" s="616"/>
      <c r="G231" s="616"/>
      <c r="H231" s="616"/>
      <c r="I231" s="616"/>
      <c r="J231" s="616"/>
      <c r="K231" s="616"/>
      <c r="L231" s="616"/>
      <c r="M231" s="616"/>
      <c r="N231" s="616"/>
      <c r="O231" s="616"/>
      <c r="P231" s="616"/>
      <c r="Q231" s="616"/>
      <c r="R231" s="616"/>
      <c r="S231" s="702">
        <v>0</v>
      </c>
      <c r="T231" s="702">
        <v>0</v>
      </c>
      <c r="U231" s="702">
        <v>0</v>
      </c>
      <c r="V231" s="702">
        <v>17000</v>
      </c>
      <c r="W231" s="702">
        <v>100000</v>
      </c>
      <c r="X231" s="702">
        <v>-2000</v>
      </c>
      <c r="Y231" s="702">
        <v>-1000</v>
      </c>
      <c r="Z231" s="702">
        <v>-5000</v>
      </c>
      <c r="AA231" s="702">
        <v>1000</v>
      </c>
      <c r="AB231" s="702">
        <v>0</v>
      </c>
      <c r="AC231" s="694"/>
      <c r="AD231" s="616"/>
      <c r="AE231" s="616"/>
      <c r="AF231" s="616"/>
      <c r="AG231" s="34"/>
      <c r="AN231" s="9"/>
      <c r="AO231" s="2"/>
      <c r="AP231" s="2"/>
      <c r="AQ231" s="2"/>
      <c r="AR231" s="2"/>
    </row>
    <row r="232" spans="1:44">
      <c r="A232" s="1120" t="s">
        <v>1410</v>
      </c>
      <c r="B232" s="616"/>
      <c r="C232" s="616"/>
      <c r="D232" s="616"/>
      <c r="E232" s="616"/>
      <c r="F232" s="616"/>
      <c r="G232" s="616"/>
      <c r="H232" s="616"/>
      <c r="I232" s="616"/>
      <c r="J232" s="616"/>
      <c r="K232" s="616"/>
      <c r="L232" s="616"/>
      <c r="M232" s="616"/>
      <c r="N232" s="616"/>
      <c r="O232" s="616"/>
      <c r="P232" s="616"/>
      <c r="Q232" s="616"/>
      <c r="R232" s="616"/>
      <c r="S232" s="616">
        <v>21000</v>
      </c>
      <c r="T232" s="616">
        <v>-28000</v>
      </c>
      <c r="U232" s="616">
        <v>1000</v>
      </c>
      <c r="V232" s="616">
        <v>9000</v>
      </c>
      <c r="W232" s="616">
        <v>-202000</v>
      </c>
      <c r="X232" s="616">
        <v>-14000</v>
      </c>
      <c r="Y232" s="616">
        <v>-1000</v>
      </c>
      <c r="Z232" s="616">
        <v>2000</v>
      </c>
      <c r="AA232" s="616">
        <v>-4000</v>
      </c>
      <c r="AB232" s="616">
        <v>0</v>
      </c>
      <c r="AC232" s="694"/>
      <c r="AD232" s="616"/>
      <c r="AE232" s="616"/>
      <c r="AF232" s="616"/>
      <c r="AG232" s="34"/>
      <c r="AN232" s="9"/>
      <c r="AO232" s="2"/>
      <c r="AP232" s="2"/>
      <c r="AQ232" s="2"/>
      <c r="AR232" s="2"/>
    </row>
    <row r="233" spans="1:44">
      <c r="A233" s="613"/>
      <c r="B233" s="616"/>
      <c r="C233" s="616"/>
      <c r="D233" s="616"/>
      <c r="E233" s="616"/>
      <c r="F233" s="616"/>
      <c r="G233" s="616"/>
      <c r="H233" s="616"/>
      <c r="I233" s="616"/>
      <c r="J233" s="616"/>
      <c r="K233" s="616"/>
      <c r="L233" s="616"/>
      <c r="M233" s="616"/>
      <c r="N233" s="616"/>
      <c r="O233" s="616"/>
      <c r="P233" s="616"/>
      <c r="Q233" s="616"/>
      <c r="R233" s="616"/>
      <c r="S233" s="616"/>
      <c r="T233" s="616"/>
      <c r="U233" s="616"/>
      <c r="V233" s="616"/>
      <c r="W233" s="616"/>
      <c r="X233" s="616"/>
      <c r="Y233" s="616"/>
      <c r="Z233" s="616"/>
      <c r="AA233" s="616"/>
      <c r="AB233" s="616"/>
      <c r="AC233" s="694"/>
      <c r="AD233" s="616"/>
      <c r="AE233" s="616"/>
      <c r="AF233" s="616"/>
      <c r="AG233" s="34"/>
      <c r="AN233" s="9"/>
      <c r="AO233" s="2"/>
      <c r="AP233" s="2"/>
      <c r="AQ233" s="2"/>
      <c r="AR233" s="2"/>
    </row>
    <row r="234" spans="1:44">
      <c r="A234" s="1120" t="s">
        <v>1396</v>
      </c>
      <c r="B234" s="616"/>
      <c r="C234" s="616"/>
      <c r="D234" s="616"/>
      <c r="E234" s="616"/>
      <c r="F234" s="616"/>
      <c r="G234" s="616"/>
      <c r="H234" s="616"/>
      <c r="I234" s="616"/>
      <c r="J234" s="616"/>
      <c r="K234" s="616"/>
      <c r="L234" s="616"/>
      <c r="M234" s="616"/>
      <c r="N234" s="616"/>
      <c r="O234" s="616"/>
      <c r="P234" s="616"/>
      <c r="Q234" s="616"/>
      <c r="R234" s="616"/>
      <c r="S234" s="616">
        <v>-12000</v>
      </c>
      <c r="T234" s="616">
        <v>96000</v>
      </c>
      <c r="U234" s="616">
        <v>5000</v>
      </c>
      <c r="V234" s="616">
        <v>-10000</v>
      </c>
      <c r="W234" s="616">
        <v>-15000</v>
      </c>
      <c r="X234" s="616">
        <v>-20000</v>
      </c>
      <c r="Y234" s="616">
        <v>-5000</v>
      </c>
      <c r="Z234" s="616">
        <v>-5000</v>
      </c>
      <c r="AA234" s="616">
        <v>-18000</v>
      </c>
      <c r="AB234" s="616">
        <v>-4000</v>
      </c>
      <c r="AC234" s="694"/>
      <c r="AD234" s="616"/>
      <c r="AE234" s="616"/>
      <c r="AF234" s="616"/>
      <c r="AG234" s="34"/>
      <c r="AN234" s="9"/>
      <c r="AO234" s="2"/>
      <c r="AP234" s="2"/>
      <c r="AQ234" s="2"/>
      <c r="AR234" s="2"/>
    </row>
    <row r="235" spans="1:44">
      <c r="A235" s="613" t="s">
        <v>1395</v>
      </c>
      <c r="B235" s="616"/>
      <c r="C235" s="616"/>
      <c r="D235" s="616"/>
      <c r="E235" s="616"/>
      <c r="F235" s="616"/>
      <c r="G235" s="616"/>
      <c r="H235" s="616"/>
      <c r="I235" s="616"/>
      <c r="J235" s="616"/>
      <c r="K235" s="616"/>
      <c r="L235" s="616"/>
      <c r="M235" s="616"/>
      <c r="N235" s="616"/>
      <c r="O235" s="616"/>
      <c r="P235" s="616"/>
      <c r="Q235" s="616"/>
      <c r="R235" s="616"/>
      <c r="S235" s="702">
        <v>9000</v>
      </c>
      <c r="T235" s="702">
        <v>68000</v>
      </c>
      <c r="U235" s="702">
        <v>6000</v>
      </c>
      <c r="V235" s="702">
        <v>-1000</v>
      </c>
      <c r="W235" s="702">
        <v>-217000</v>
      </c>
      <c r="X235" s="702">
        <v>-34000</v>
      </c>
      <c r="Y235" s="702">
        <v>-6000</v>
      </c>
      <c r="Z235" s="702">
        <v>-3000</v>
      </c>
      <c r="AA235" s="702">
        <v>-22000</v>
      </c>
      <c r="AB235" s="702">
        <v>-4000</v>
      </c>
      <c r="AC235" s="694"/>
      <c r="AD235" s="616"/>
      <c r="AE235" s="616"/>
      <c r="AF235" s="616"/>
      <c r="AG235" s="34"/>
      <c r="AN235" s="9"/>
      <c r="AO235" s="2"/>
      <c r="AP235" s="2"/>
      <c r="AQ235" s="2"/>
      <c r="AR235" s="2"/>
    </row>
    <row r="236" spans="1:44">
      <c r="A236" s="613"/>
      <c r="B236" s="616"/>
      <c r="C236" s="616"/>
      <c r="D236" s="616"/>
      <c r="E236" s="616"/>
      <c r="F236" s="616"/>
      <c r="G236" s="616"/>
      <c r="H236" s="616"/>
      <c r="I236" s="616"/>
      <c r="J236" s="616"/>
      <c r="K236" s="616"/>
      <c r="L236" s="616"/>
      <c r="M236" s="616"/>
      <c r="N236" s="616"/>
      <c r="O236" s="616"/>
      <c r="P236" s="616"/>
      <c r="Q236" s="616"/>
      <c r="R236" s="616"/>
      <c r="S236" s="616"/>
      <c r="T236" s="616"/>
      <c r="U236" s="616"/>
      <c r="V236" s="616"/>
      <c r="W236" s="616"/>
      <c r="X236" s="616"/>
      <c r="Y236" s="616"/>
      <c r="Z236" s="616"/>
      <c r="AA236" s="616"/>
      <c r="AB236" s="616"/>
      <c r="AC236" s="694"/>
      <c r="AD236" s="616"/>
      <c r="AE236" s="616"/>
      <c r="AF236" s="616"/>
      <c r="AG236" s="34"/>
      <c r="AN236" s="9"/>
      <c r="AO236" s="2"/>
      <c r="AP236" s="2"/>
      <c r="AQ236" s="2"/>
      <c r="AR236" s="2"/>
    </row>
    <row r="237" spans="1:44">
      <c r="A237" s="613" t="s">
        <v>1475</v>
      </c>
      <c r="B237" s="616"/>
      <c r="C237" s="616"/>
      <c r="D237" s="616"/>
      <c r="E237" s="616"/>
      <c r="F237" s="616"/>
      <c r="G237" s="616"/>
      <c r="H237" s="616"/>
      <c r="I237" s="616"/>
      <c r="J237" s="616"/>
      <c r="K237" s="616"/>
      <c r="L237" s="616"/>
      <c r="M237" s="616"/>
      <c r="N237" s="616"/>
      <c r="O237" s="616"/>
      <c r="P237" s="616"/>
      <c r="Q237" s="616"/>
      <c r="R237" s="616"/>
      <c r="S237" s="707">
        <v>9000</v>
      </c>
      <c r="T237" s="707">
        <v>77000</v>
      </c>
      <c r="U237" s="707">
        <v>83000</v>
      </c>
      <c r="V237" s="707">
        <v>82000</v>
      </c>
      <c r="W237" s="707">
        <v>-135000</v>
      </c>
      <c r="X237" s="707">
        <v>-169000</v>
      </c>
      <c r="Y237" s="707">
        <v>-175000</v>
      </c>
      <c r="Z237" s="707">
        <v>-178000</v>
      </c>
      <c r="AA237" s="707">
        <v>-200000</v>
      </c>
      <c r="AB237" s="707">
        <v>-204000</v>
      </c>
      <c r="AC237" s="694"/>
      <c r="AD237" s="616"/>
      <c r="AE237" s="616"/>
      <c r="AF237" s="616"/>
      <c r="AG237" s="34"/>
      <c r="AN237" s="9"/>
      <c r="AO237" s="2"/>
      <c r="AP237" s="2"/>
      <c r="AQ237" s="2"/>
      <c r="AR237" s="2"/>
    </row>
    <row r="238" spans="1:44">
      <c r="A238" s="4"/>
      <c r="B238" s="702"/>
      <c r="C238" s="702"/>
      <c r="D238" s="702"/>
      <c r="E238" s="702"/>
      <c r="F238" s="702"/>
      <c r="G238" s="702"/>
      <c r="H238" s="702"/>
      <c r="I238" s="702"/>
      <c r="J238" s="702"/>
      <c r="K238" s="702"/>
      <c r="L238" s="702"/>
      <c r="M238" s="702"/>
      <c r="N238" s="702"/>
      <c r="O238" s="702"/>
      <c r="P238" s="702"/>
      <c r="Q238" s="702"/>
      <c r="R238" s="702"/>
      <c r="S238" s="702"/>
      <c r="T238" s="702"/>
      <c r="U238" s="702"/>
      <c r="V238" s="702"/>
      <c r="W238" s="702"/>
      <c r="X238" s="702"/>
      <c r="Y238" s="702"/>
      <c r="Z238" s="702"/>
      <c r="AA238" s="702"/>
      <c r="AB238" s="702"/>
      <c r="AC238" s="694"/>
      <c r="AD238" s="616"/>
      <c r="AE238" s="616"/>
      <c r="AF238" s="616"/>
      <c r="AG238" s="34"/>
      <c r="AN238" s="9"/>
      <c r="AO238" s="2"/>
      <c r="AP238" s="2"/>
      <c r="AQ238" s="2"/>
      <c r="AR238" s="2"/>
    </row>
    <row r="239" spans="1:44">
      <c r="A239" s="1120" t="s">
        <v>10</v>
      </c>
      <c r="B239" s="616"/>
      <c r="C239" s="616"/>
      <c r="D239" s="616"/>
      <c r="E239" s="616"/>
      <c r="F239" s="616"/>
      <c r="G239" s="616"/>
      <c r="H239" s="616"/>
      <c r="I239" s="616"/>
      <c r="J239" s="616"/>
      <c r="K239" s="616"/>
      <c r="L239" s="616"/>
      <c r="M239" s="616"/>
      <c r="N239" s="616"/>
      <c r="O239" s="616"/>
      <c r="P239" s="616"/>
      <c r="Q239" s="616"/>
      <c r="R239" s="616"/>
      <c r="S239" s="616"/>
      <c r="T239" s="616"/>
      <c r="U239" s="616"/>
      <c r="V239" s="616"/>
      <c r="W239" s="616"/>
      <c r="X239" s="616"/>
      <c r="Y239" s="616"/>
      <c r="Z239" s="616"/>
      <c r="AA239" s="616"/>
      <c r="AB239" s="616"/>
      <c r="AC239" s="694"/>
      <c r="AD239" s="616"/>
      <c r="AE239" s="616"/>
      <c r="AF239" s="616"/>
      <c r="AG239" s="34"/>
      <c r="AN239" s="9"/>
      <c r="AO239" s="2"/>
      <c r="AP239" s="2"/>
      <c r="AQ239" s="2"/>
      <c r="AR239" s="2"/>
    </row>
    <row r="240" spans="1:44">
      <c r="A240" s="739" t="s">
        <v>1274</v>
      </c>
      <c r="B240" s="1111"/>
      <c r="C240" s="1111"/>
      <c r="D240" s="616"/>
      <c r="F240" s="616"/>
      <c r="G240" s="616"/>
      <c r="H240" s="616"/>
      <c r="I240" s="616"/>
      <c r="J240" s="616"/>
      <c r="K240" s="616"/>
      <c r="L240" s="616"/>
      <c r="M240" s="616"/>
      <c r="N240" s="616"/>
      <c r="O240" s="616"/>
      <c r="P240" s="616"/>
      <c r="Q240" s="1273"/>
      <c r="R240" s="616"/>
      <c r="S240" s="616"/>
      <c r="T240" s="616"/>
      <c r="U240" s="616"/>
      <c r="V240" s="616"/>
      <c r="W240" s="616"/>
      <c r="X240" s="616"/>
      <c r="Y240" s="616"/>
      <c r="Z240" s="726">
        <v>165000</v>
      </c>
      <c r="AA240" s="616"/>
      <c r="AB240" s="616"/>
      <c r="AC240" s="694"/>
      <c r="AD240" s="616"/>
      <c r="AE240" s="616"/>
      <c r="AF240" s="616"/>
      <c r="AG240" s="34"/>
      <c r="AN240" s="9"/>
      <c r="AO240" s="2"/>
      <c r="AP240" s="2"/>
      <c r="AQ240" s="2"/>
      <c r="AR240" s="2"/>
    </row>
    <row r="241" spans="1:44">
      <c r="A241" s="739" t="s">
        <v>1283</v>
      </c>
      <c r="B241" s="616"/>
      <c r="C241" s="616"/>
      <c r="D241" s="616"/>
      <c r="F241" s="616"/>
      <c r="G241" s="616"/>
      <c r="H241" s="616"/>
      <c r="I241" s="616"/>
      <c r="J241" s="616"/>
      <c r="K241" s="616"/>
      <c r="L241" s="616"/>
      <c r="M241" s="616"/>
      <c r="N241" s="616"/>
      <c r="O241" s="616"/>
      <c r="P241" s="616"/>
      <c r="Q241" s="1274"/>
      <c r="R241" s="702"/>
      <c r="S241" s="702"/>
      <c r="T241" s="702"/>
      <c r="U241" s="702"/>
      <c r="V241" s="702"/>
      <c r="W241" s="702"/>
      <c r="X241" s="702"/>
      <c r="Y241" s="702"/>
      <c r="Z241" s="450">
        <v>0</v>
      </c>
      <c r="AA241" s="702"/>
      <c r="AB241" s="702"/>
      <c r="AC241" s="694"/>
      <c r="AD241" s="616"/>
      <c r="AE241" s="616"/>
      <c r="AF241" s="616"/>
      <c r="AG241" s="34"/>
      <c r="AN241" s="9"/>
      <c r="AO241" s="2"/>
      <c r="AP241" s="2"/>
      <c r="AQ241" s="2"/>
      <c r="AR241" s="2"/>
    </row>
    <row r="242" spans="1:44">
      <c r="A242" s="869" t="s">
        <v>1387</v>
      </c>
      <c r="B242" s="702"/>
      <c r="C242" s="702"/>
      <c r="D242" s="702"/>
      <c r="E242" s="4"/>
      <c r="F242" s="702"/>
      <c r="G242" s="702"/>
      <c r="H242" s="702"/>
      <c r="I242" s="702"/>
      <c r="J242" s="702"/>
      <c r="K242" s="702"/>
      <c r="L242" s="702"/>
      <c r="M242" s="702"/>
      <c r="N242" s="702"/>
      <c r="O242" s="702"/>
      <c r="P242" s="702"/>
      <c r="Q242" s="1274"/>
      <c r="R242" s="702"/>
      <c r="S242" s="702"/>
      <c r="T242" s="702"/>
      <c r="U242" s="702"/>
      <c r="V242" s="702"/>
      <c r="W242" s="702"/>
      <c r="X242" s="702"/>
      <c r="Y242" s="702"/>
      <c r="Z242" s="759">
        <v>165000</v>
      </c>
      <c r="AA242" s="702"/>
      <c r="AB242" s="702"/>
      <c r="AC242" s="694"/>
      <c r="AD242" s="616"/>
      <c r="AE242" s="616"/>
      <c r="AF242" s="616"/>
      <c r="AG242" s="34"/>
      <c r="AN242" s="9"/>
      <c r="AO242" s="2"/>
      <c r="AP242" s="2"/>
      <c r="AQ242" s="2"/>
      <c r="AR242" s="2"/>
    </row>
    <row r="243" spans="1:44">
      <c r="A243" s="739"/>
      <c r="B243" s="616"/>
      <c r="C243" s="616"/>
      <c r="D243" s="616"/>
      <c r="F243" s="616"/>
      <c r="G243" s="616"/>
      <c r="H243" s="616"/>
      <c r="I243" s="616"/>
      <c r="J243" s="616"/>
      <c r="K243" s="616"/>
      <c r="L243" s="616"/>
      <c r="M243" s="616"/>
      <c r="N243" s="616"/>
      <c r="O243" s="616"/>
      <c r="P243" s="616"/>
      <c r="Q243" s="1273"/>
      <c r="R243" s="616"/>
      <c r="S243" s="616"/>
      <c r="T243" s="616"/>
      <c r="U243" s="616"/>
      <c r="V243" s="616"/>
      <c r="W243" s="616"/>
      <c r="X243" s="616"/>
      <c r="Y243" s="616"/>
      <c r="Z243" s="756"/>
      <c r="AA243" s="616"/>
      <c r="AB243" s="616"/>
      <c r="AC243" s="694"/>
      <c r="AD243" s="616"/>
      <c r="AE243" s="616"/>
      <c r="AF243" s="616"/>
      <c r="AG243" s="34"/>
      <c r="AN243" s="9"/>
      <c r="AO243" s="2"/>
      <c r="AP243" s="2"/>
      <c r="AQ243" s="2"/>
      <c r="AR243" s="2"/>
    </row>
    <row r="244" spans="1:44">
      <c r="F244" s="616"/>
      <c r="G244" s="616"/>
      <c r="H244" s="616"/>
      <c r="I244" s="616"/>
      <c r="J244" s="616"/>
      <c r="K244" s="616"/>
      <c r="L244" s="616"/>
      <c r="M244" s="616"/>
      <c r="N244" s="616"/>
      <c r="O244" s="616"/>
      <c r="P244" s="616"/>
      <c r="Q244" s="1273"/>
      <c r="R244" s="34">
        <v>0</v>
      </c>
      <c r="S244" s="34">
        <v>1</v>
      </c>
      <c r="T244" s="34">
        <v>2</v>
      </c>
      <c r="U244" s="34">
        <v>3</v>
      </c>
      <c r="V244" s="34">
        <v>4</v>
      </c>
      <c r="W244" s="34">
        <v>5</v>
      </c>
      <c r="X244" s="34">
        <v>6</v>
      </c>
      <c r="Y244" s="34">
        <v>7</v>
      </c>
      <c r="Z244" s="34">
        <v>8</v>
      </c>
      <c r="AA244" s="34">
        <v>9</v>
      </c>
      <c r="AB244" s="34">
        <v>10</v>
      </c>
      <c r="AC244" s="694"/>
      <c r="AD244" s="616"/>
      <c r="AE244" s="616"/>
      <c r="AF244" s="616"/>
      <c r="AG244" s="34"/>
      <c r="AN244" s="9"/>
      <c r="AO244" s="2"/>
      <c r="AP244" s="2"/>
      <c r="AQ244" s="2"/>
      <c r="AR244" s="2"/>
    </row>
    <row r="245" spans="1:44">
      <c r="A245" s="616"/>
      <c r="B245" s="616"/>
      <c r="C245" s="616"/>
      <c r="D245" s="616"/>
      <c r="E245" s="616"/>
      <c r="F245" s="616"/>
      <c r="G245" s="616"/>
      <c r="H245" s="616"/>
      <c r="I245" s="616"/>
      <c r="J245" s="616"/>
      <c r="K245" s="616"/>
      <c r="L245" s="616"/>
      <c r="M245" s="616"/>
      <c r="N245" s="616"/>
      <c r="O245" s="616"/>
      <c r="P245" s="616"/>
      <c r="Q245" s="616"/>
      <c r="R245" s="980">
        <v>2011</v>
      </c>
      <c r="S245" s="980">
        <v>2012</v>
      </c>
      <c r="T245" s="980">
        <v>2013</v>
      </c>
      <c r="U245" s="980">
        <v>2014</v>
      </c>
      <c r="V245" s="980">
        <v>2015</v>
      </c>
      <c r="W245" s="980">
        <v>2016</v>
      </c>
      <c r="X245" s="980">
        <v>2017</v>
      </c>
      <c r="Y245" s="980">
        <v>2018</v>
      </c>
      <c r="Z245" s="980">
        <v>2019</v>
      </c>
      <c r="AA245" s="980">
        <v>2020</v>
      </c>
      <c r="AB245" s="980">
        <v>2021</v>
      </c>
      <c r="AC245" s="616"/>
      <c r="AD245" s="616"/>
      <c r="AE245" s="616"/>
      <c r="AF245" s="616"/>
      <c r="AG245" s="34"/>
      <c r="AN245" s="9"/>
      <c r="AO245" s="2"/>
      <c r="AP245" s="2"/>
      <c r="AQ245" s="2"/>
      <c r="AR245" s="2"/>
    </row>
    <row r="246" spans="1:44" ht="16.5" customHeight="1">
      <c r="A246" s="1494" t="s">
        <v>132</v>
      </c>
      <c r="B246" s="1494"/>
      <c r="C246" s="1494"/>
      <c r="D246" s="1494"/>
      <c r="E246" s="616"/>
      <c r="F246" s="616" t="e">
        <v>#REF!</v>
      </c>
      <c r="G246" s="616" t="e">
        <v>#REF!</v>
      </c>
      <c r="H246" s="616" t="e">
        <v>#REF!</v>
      </c>
      <c r="I246" s="616" t="e">
        <v>#REF!</v>
      </c>
      <c r="J246" s="616" t="e">
        <v>#REF!</v>
      </c>
      <c r="K246" s="616" t="e">
        <v>#REF!</v>
      </c>
      <c r="L246" s="616" t="e">
        <v>#REF!</v>
      </c>
      <c r="M246" s="616" t="e">
        <v>#REF!</v>
      </c>
      <c r="N246" s="616"/>
      <c r="O246" s="616"/>
      <c r="P246" s="616"/>
      <c r="Q246" s="616"/>
      <c r="R246" s="616"/>
      <c r="S246" s="616"/>
      <c r="T246" s="616"/>
      <c r="U246" s="616"/>
      <c r="V246" s="616"/>
      <c r="W246" s="616"/>
      <c r="Z246" s="616"/>
      <c r="AA246" s="616"/>
      <c r="AB246" s="1083">
        <v>2.5</v>
      </c>
      <c r="AC246" s="616"/>
      <c r="AD246" s="616"/>
      <c r="AE246" s="616"/>
      <c r="AF246" s="34"/>
      <c r="AG246" s="34"/>
      <c r="AN246" s="9"/>
      <c r="AO246" s="2"/>
      <c r="AP246" s="2"/>
      <c r="AQ246" s="2"/>
      <c r="AR246" s="2"/>
    </row>
    <row r="247" spans="1:44" ht="16.5" customHeight="1">
      <c r="A247" s="1396"/>
      <c r="B247" s="1396"/>
      <c r="C247" s="1396"/>
      <c r="D247" s="1396"/>
      <c r="E247" s="616"/>
      <c r="F247" s="616"/>
      <c r="G247" s="616"/>
      <c r="H247" s="616"/>
      <c r="I247" s="616"/>
      <c r="J247" s="616"/>
      <c r="K247" s="616"/>
      <c r="L247" s="616"/>
      <c r="M247" s="616"/>
      <c r="N247" s="616"/>
      <c r="O247" s="616"/>
      <c r="P247" s="616"/>
      <c r="Q247" s="616"/>
      <c r="R247" s="616"/>
      <c r="S247" s="616"/>
      <c r="T247" s="616"/>
      <c r="U247" s="616"/>
      <c r="V247" s="616"/>
      <c r="W247" s="616"/>
      <c r="X247" s="1499" t="s">
        <v>1380</v>
      </c>
      <c r="Y247" s="1500"/>
      <c r="Z247" s="616"/>
      <c r="AA247" s="616"/>
      <c r="AB247" s="1125"/>
      <c r="AC247" s="616"/>
      <c r="AD247" s="616"/>
      <c r="AE247" s="616"/>
      <c r="AF247" s="34"/>
      <c r="AG247" s="34"/>
      <c r="AN247" s="9"/>
      <c r="AO247" s="2"/>
      <c r="AP247" s="2"/>
      <c r="AQ247" s="2"/>
      <c r="AR247" s="2"/>
    </row>
    <row r="248" spans="1:44">
      <c r="A248" s="34" t="s">
        <v>41</v>
      </c>
      <c r="B248" s="1160"/>
      <c r="C248" s="616"/>
      <c r="D248" s="616"/>
      <c r="E248" s="616"/>
      <c r="F248" s="616"/>
      <c r="G248" s="616"/>
      <c r="H248" s="616"/>
      <c r="I248" s="616"/>
      <c r="J248" s="616"/>
      <c r="K248" s="616"/>
      <c r="L248" s="616"/>
      <c r="M248" s="616"/>
      <c r="N248" s="616"/>
      <c r="O248" s="616"/>
      <c r="P248" s="616"/>
      <c r="Q248" s="616"/>
      <c r="R248" s="616"/>
      <c r="S248" s="616"/>
      <c r="T248" s="616"/>
      <c r="U248" s="616"/>
      <c r="V248" s="616"/>
      <c r="W248" s="616"/>
      <c r="X248" s="1315">
        <v>-208000</v>
      </c>
      <c r="Y248" s="1270">
        <v>-220000</v>
      </c>
      <c r="Z248" s="616"/>
      <c r="AA248" s="616"/>
      <c r="AB248" s="616"/>
      <c r="AC248" s="616"/>
      <c r="AD248" s="616"/>
      <c r="AE248" s="616"/>
      <c r="AF248" s="34"/>
      <c r="AG248" s="34"/>
      <c r="AN248" s="9"/>
      <c r="AO248" s="2"/>
      <c r="AP248" s="2"/>
      <c r="AQ248" s="2"/>
      <c r="AR248" s="2"/>
    </row>
    <row r="249" spans="1:44">
      <c r="A249" s="616"/>
      <c r="B249" s="1134" t="s">
        <v>114</v>
      </c>
      <c r="C249" s="702"/>
      <c r="D249" s="702"/>
      <c r="E249" s="616"/>
      <c r="F249" s="616" t="e">
        <v>#REF!</v>
      </c>
      <c r="G249" s="616" t="e">
        <v>#REF!</v>
      </c>
      <c r="H249" s="616" t="e">
        <v>#REF!</v>
      </c>
      <c r="I249" s="616" t="e">
        <v>#REF!</v>
      </c>
      <c r="J249" s="616" t="e">
        <v>#REF!</v>
      </c>
      <c r="K249" s="616" t="e">
        <v>#REF!</v>
      </c>
      <c r="L249" s="616" t="e">
        <v>#REF!</v>
      </c>
      <c r="M249" s="616" t="e">
        <v>#REF!</v>
      </c>
      <c r="N249" s="616" t="e">
        <v>#REF!</v>
      </c>
      <c r="O249" s="616" t="e">
        <v>#REF!</v>
      </c>
      <c r="P249" s="616" t="e">
        <v>#REF!</v>
      </c>
      <c r="Q249" s="616" t="e">
        <v>#REF!</v>
      </c>
      <c r="R249" s="707">
        <v>0</v>
      </c>
      <c r="S249" s="707">
        <v>-193000</v>
      </c>
      <c r="T249" s="707">
        <v>-195000</v>
      </c>
      <c r="U249" s="707">
        <v>-190000</v>
      </c>
      <c r="V249" s="707">
        <v>-204000</v>
      </c>
      <c r="W249" s="707">
        <v>-203000</v>
      </c>
      <c r="X249" s="707">
        <v>-203000</v>
      </c>
      <c r="Y249" s="707">
        <v>-215000</v>
      </c>
      <c r="Z249" s="707">
        <v>-205000</v>
      </c>
      <c r="AA249" s="707">
        <v>-220000</v>
      </c>
      <c r="AB249" s="707">
        <v>-249000</v>
      </c>
      <c r="AC249" s="616"/>
      <c r="AD249" s="616"/>
      <c r="AE249" s="616"/>
      <c r="AF249" s="34"/>
      <c r="AG249" s="34"/>
      <c r="AN249" s="9"/>
      <c r="AO249" s="2"/>
      <c r="AP249" s="2"/>
      <c r="AQ249" s="2"/>
      <c r="AR249" s="2"/>
    </row>
    <row r="250" spans="1:44">
      <c r="A250" s="616"/>
      <c r="B250" s="616"/>
      <c r="C250" s="616"/>
      <c r="D250" s="616"/>
      <c r="E250" s="616"/>
      <c r="F250" s="616"/>
      <c r="G250" s="616"/>
      <c r="H250" s="616"/>
      <c r="I250" s="616"/>
      <c r="J250" s="616"/>
      <c r="K250" s="616"/>
      <c r="L250" s="616"/>
      <c r="M250" s="616"/>
      <c r="N250" s="616"/>
      <c r="O250" s="616"/>
      <c r="P250" s="616"/>
      <c r="Q250" s="616"/>
      <c r="R250" s="616"/>
      <c r="S250" s="616"/>
      <c r="T250" s="616"/>
      <c r="U250" s="616"/>
      <c r="V250" s="616"/>
      <c r="W250" s="616"/>
      <c r="X250" s="707"/>
      <c r="Y250" s="707"/>
      <c r="Z250" s="616"/>
      <c r="AA250" s="616"/>
      <c r="AB250" s="616"/>
      <c r="AC250" s="616"/>
      <c r="AD250" s="616"/>
      <c r="AE250" s="616"/>
      <c r="AF250" s="34"/>
      <c r="AG250" s="34"/>
      <c r="AN250" s="9"/>
      <c r="AO250" s="2"/>
      <c r="AP250" s="2"/>
      <c r="AQ250" s="2"/>
      <c r="AR250" s="2"/>
    </row>
    <row r="251" spans="1:44">
      <c r="A251" s="34" t="s">
        <v>331</v>
      </c>
      <c r="B251" s="1160"/>
      <c r="C251" s="616"/>
      <c r="D251" s="616"/>
      <c r="E251" s="616"/>
      <c r="F251" s="616"/>
      <c r="G251" s="616"/>
      <c r="H251" s="616"/>
      <c r="I251" s="616"/>
      <c r="J251" s="616"/>
      <c r="K251" s="616"/>
      <c r="L251" s="616"/>
      <c r="M251" s="616"/>
      <c r="N251" s="616"/>
      <c r="O251" s="616"/>
      <c r="P251" s="616"/>
      <c r="Q251" s="616"/>
      <c r="R251" s="616"/>
      <c r="S251" s="616"/>
      <c r="T251" s="616"/>
      <c r="U251" s="616"/>
      <c r="V251" s="616"/>
      <c r="W251" s="616"/>
      <c r="X251" s="616"/>
      <c r="Y251" s="616"/>
      <c r="Z251" s="616"/>
      <c r="AA251" s="616"/>
      <c r="AB251" s="616"/>
      <c r="AC251" s="616"/>
      <c r="AD251" s="616"/>
      <c r="AE251" s="616"/>
      <c r="AF251" s="34"/>
      <c r="AG251" s="34"/>
      <c r="AN251" s="9"/>
      <c r="AO251" s="2"/>
      <c r="AP251" s="2"/>
      <c r="AQ251" s="2"/>
      <c r="AR251" s="2"/>
    </row>
    <row r="252" spans="1:44">
      <c r="B252" s="1134" t="s">
        <v>74</v>
      </c>
      <c r="C252" s="702"/>
      <c r="D252" s="702"/>
      <c r="E252" s="616"/>
      <c r="F252" s="616"/>
      <c r="G252" s="616"/>
      <c r="H252" s="616"/>
      <c r="I252" s="616"/>
      <c r="J252" s="616"/>
      <c r="K252" s="616"/>
      <c r="L252" s="616"/>
      <c r="M252" s="616"/>
      <c r="N252" s="616"/>
      <c r="O252" s="616"/>
      <c r="P252" s="616"/>
      <c r="Q252" s="616"/>
      <c r="R252" s="616"/>
      <c r="S252" s="616"/>
      <c r="T252" s="616"/>
      <c r="U252" s="616"/>
      <c r="V252" s="616"/>
      <c r="W252" s="616"/>
      <c r="X252" s="616"/>
      <c r="Y252" s="616"/>
      <c r="Z252" s="616"/>
      <c r="AA252" s="616"/>
      <c r="AB252" s="616"/>
      <c r="AC252" s="616"/>
      <c r="AD252" s="616"/>
      <c r="AE252" s="616"/>
      <c r="AF252" s="34"/>
      <c r="AG252" s="34"/>
      <c r="AN252" s="9"/>
      <c r="AO252" s="2"/>
      <c r="AP252" s="2"/>
      <c r="AQ252" s="2"/>
      <c r="AR252" s="2"/>
    </row>
    <row r="253" spans="1:44">
      <c r="A253" s="616"/>
      <c r="B253" s="1111" t="s">
        <v>130</v>
      </c>
      <c r="C253" s="616"/>
      <c r="D253" s="616"/>
      <c r="E253" s="616"/>
      <c r="F253" s="616"/>
      <c r="G253" s="616"/>
      <c r="H253" s="616" t="e">
        <v>#REF!</v>
      </c>
      <c r="I253" s="616" t="e">
        <v>#REF!</v>
      </c>
      <c r="J253" s="616" t="e">
        <v>#REF!</v>
      </c>
      <c r="K253" s="616">
        <v>66642</v>
      </c>
      <c r="L253" s="616">
        <v>72548</v>
      </c>
      <c r="M253" s="616">
        <v>68771</v>
      </c>
      <c r="N253" s="616"/>
      <c r="O253" s="616"/>
      <c r="P253" s="616"/>
      <c r="Q253" s="616"/>
      <c r="R253" s="616">
        <v>-140503</v>
      </c>
      <c r="S253" s="616">
        <v>-162000</v>
      </c>
      <c r="T253" s="616">
        <v>-162000</v>
      </c>
      <c r="U253" s="616">
        <v>-161000</v>
      </c>
      <c r="V253" s="616">
        <v>-166000</v>
      </c>
      <c r="W253" s="616">
        <v>-161000</v>
      </c>
      <c r="X253" s="616">
        <v>-158000</v>
      </c>
      <c r="Y253" s="616">
        <v>-167000</v>
      </c>
      <c r="Z253" s="616">
        <v>-160000</v>
      </c>
      <c r="AA253" s="616">
        <v>-177000</v>
      </c>
      <c r="AB253" s="616">
        <v>-200000</v>
      </c>
      <c r="AC253" s="616"/>
      <c r="AD253" s="616"/>
      <c r="AE253" s="616"/>
      <c r="AF253" s="34"/>
      <c r="AG253" s="34"/>
      <c r="AN253" s="9"/>
      <c r="AO253" s="2"/>
      <c r="AP253" s="2"/>
      <c r="AQ253" s="2"/>
      <c r="AR253" s="2"/>
    </row>
    <row r="254" spans="1:44">
      <c r="A254" s="616"/>
      <c r="B254" s="1394" t="s">
        <v>75</v>
      </c>
      <c r="C254" s="616"/>
      <c r="D254" s="616"/>
      <c r="E254" s="616"/>
      <c r="F254" s="616"/>
      <c r="G254" s="616"/>
      <c r="H254" s="616" t="e">
        <v>#REF!</v>
      </c>
      <c r="I254" s="616" t="e">
        <v>#REF!</v>
      </c>
      <c r="J254" s="616" t="e">
        <v>#REF!</v>
      </c>
      <c r="K254" s="616">
        <v>366</v>
      </c>
      <c r="L254" s="616">
        <v>371</v>
      </c>
      <c r="M254" s="616">
        <v>250</v>
      </c>
      <c r="N254" s="616"/>
      <c r="O254" s="616"/>
      <c r="P254" s="616"/>
      <c r="Q254" s="616"/>
      <c r="R254" s="616">
        <v>0</v>
      </c>
      <c r="S254" s="616">
        <v>0</v>
      </c>
      <c r="T254" s="616">
        <v>0</v>
      </c>
      <c r="U254" s="616">
        <v>0</v>
      </c>
      <c r="V254" s="616">
        <v>0</v>
      </c>
      <c r="W254" s="616"/>
      <c r="X254" s="616">
        <v>0</v>
      </c>
      <c r="Y254" s="616">
        <v>0</v>
      </c>
      <c r="Z254" s="616">
        <v>0</v>
      </c>
      <c r="AA254" s="616">
        <v>0</v>
      </c>
      <c r="AB254" s="616">
        <v>0</v>
      </c>
      <c r="AC254" s="616"/>
      <c r="AD254" s="616"/>
      <c r="AE254" s="616"/>
      <c r="AF254" s="34"/>
      <c r="AG254" s="34"/>
      <c r="AN254" s="9"/>
      <c r="AO254" s="2"/>
      <c r="AP254" s="2"/>
      <c r="AQ254" s="2"/>
      <c r="AR254" s="2"/>
    </row>
    <row r="255" spans="1:44">
      <c r="A255" s="616"/>
      <c r="B255" s="1111" t="s">
        <v>131</v>
      </c>
      <c r="C255" s="616"/>
      <c r="D255" s="616"/>
      <c r="E255" s="616"/>
      <c r="F255" s="616"/>
      <c r="G255" s="616"/>
      <c r="H255" s="616" t="e">
        <v>#REF!</v>
      </c>
      <c r="I255" s="616" t="e">
        <v>#REF!</v>
      </c>
      <c r="J255" s="616" t="e">
        <v>#REF!</v>
      </c>
      <c r="K255" s="616">
        <v>7537</v>
      </c>
      <c r="L255" s="616">
        <v>8215</v>
      </c>
      <c r="M255" s="616">
        <v>8245</v>
      </c>
      <c r="N255" s="616"/>
      <c r="O255" s="616"/>
      <c r="P255" s="616"/>
      <c r="Q255" s="616"/>
      <c r="R255" s="616">
        <v>-14681</v>
      </c>
      <c r="S255" s="616">
        <v>-15000</v>
      </c>
      <c r="T255" s="616">
        <v>-18000</v>
      </c>
      <c r="U255" s="616">
        <v>-14000</v>
      </c>
      <c r="V255" s="616">
        <v>-12000</v>
      </c>
      <c r="W255" s="616">
        <v>-14000</v>
      </c>
      <c r="X255" s="616">
        <v>-12000</v>
      </c>
      <c r="Y255" s="616">
        <v>-10000</v>
      </c>
      <c r="Z255" s="616">
        <v>-6000</v>
      </c>
      <c r="AA255" s="616">
        <v>-4000</v>
      </c>
      <c r="AB255" s="616">
        <v>-4000</v>
      </c>
      <c r="AC255" s="616"/>
      <c r="AD255" s="616"/>
      <c r="AE255" s="616"/>
      <c r="AF255" s="34"/>
      <c r="AG255" s="34"/>
      <c r="AN255" s="9"/>
      <c r="AO255" s="2"/>
      <c r="AP255" s="2"/>
      <c r="AQ255" s="2"/>
      <c r="AR255" s="2"/>
    </row>
    <row r="256" spans="1:44">
      <c r="A256" s="616"/>
      <c r="B256" s="1394" t="s">
        <v>1163</v>
      </c>
      <c r="C256" s="616"/>
      <c r="D256" s="616"/>
      <c r="E256" s="616"/>
      <c r="F256" s="616"/>
      <c r="G256" s="616"/>
      <c r="H256" s="616"/>
      <c r="I256" s="616"/>
      <c r="J256" s="616"/>
      <c r="K256" s="616"/>
      <c r="L256" s="616">
        <v>175</v>
      </c>
      <c r="M256" s="616">
        <v>170</v>
      </c>
      <c r="N256" s="616"/>
      <c r="O256" s="616"/>
      <c r="P256" s="616"/>
      <c r="Q256" s="616"/>
      <c r="R256" s="616">
        <v>0</v>
      </c>
      <c r="S256" s="616">
        <v>0</v>
      </c>
      <c r="T256" s="616">
        <v>0</v>
      </c>
      <c r="U256" s="616">
        <v>0</v>
      </c>
      <c r="V256" s="616">
        <v>0</v>
      </c>
      <c r="W256" s="616">
        <v>0</v>
      </c>
      <c r="X256" s="707"/>
      <c r="Y256" s="707"/>
      <c r="Z256" s="616">
        <v>-3000</v>
      </c>
      <c r="AA256" s="616">
        <v>-3000</v>
      </c>
      <c r="AB256" s="616">
        <v>-4000</v>
      </c>
      <c r="AC256" s="616"/>
      <c r="AD256" s="616"/>
      <c r="AE256" s="616"/>
      <c r="AF256" s="34"/>
      <c r="AG256" s="34"/>
      <c r="AN256" s="9"/>
      <c r="AO256" s="2"/>
      <c r="AP256" s="2"/>
      <c r="AQ256" s="2"/>
      <c r="AR256" s="2"/>
    </row>
    <row r="257" spans="1:44">
      <c r="A257" s="616"/>
      <c r="B257" s="1394" t="s">
        <v>1333</v>
      </c>
      <c r="C257" s="616"/>
      <c r="D257" s="616"/>
      <c r="E257" s="616"/>
      <c r="F257" s="616"/>
      <c r="G257" s="616"/>
      <c r="H257" s="616"/>
      <c r="I257" s="616"/>
      <c r="J257" s="616"/>
      <c r="K257" s="616"/>
      <c r="L257" s="616"/>
      <c r="M257" s="616"/>
      <c r="N257" s="616"/>
      <c r="O257" s="616"/>
      <c r="P257" s="616"/>
      <c r="Q257" s="616"/>
      <c r="R257" s="702">
        <v>0</v>
      </c>
      <c r="S257" s="702"/>
      <c r="T257" s="702"/>
      <c r="U257" s="702">
        <v>0</v>
      </c>
      <c r="V257" s="702">
        <v>0</v>
      </c>
      <c r="W257" s="702"/>
      <c r="X257" s="702">
        <v>0</v>
      </c>
      <c r="Y257" s="702">
        <v>0</v>
      </c>
      <c r="Z257" s="702">
        <v>0</v>
      </c>
      <c r="AA257" s="702">
        <v>0</v>
      </c>
      <c r="AB257" s="702">
        <v>0</v>
      </c>
      <c r="AC257" s="616"/>
      <c r="AD257" s="616"/>
      <c r="AE257" s="616"/>
      <c r="AF257" s="34"/>
      <c r="AG257" s="34"/>
      <c r="AN257" s="9"/>
      <c r="AO257" s="2"/>
      <c r="AP257" s="2"/>
      <c r="AQ257" s="2"/>
      <c r="AR257" s="2"/>
    </row>
    <row r="258" spans="1:44" ht="13.15" customHeight="1">
      <c r="A258" s="616"/>
      <c r="B258" s="1123" t="s">
        <v>943</v>
      </c>
      <c r="C258" s="702"/>
      <c r="D258" s="702"/>
      <c r="E258" s="616"/>
      <c r="F258" s="616"/>
      <c r="G258" s="616"/>
      <c r="H258" s="616"/>
      <c r="I258" s="616"/>
      <c r="J258" s="616"/>
      <c r="K258" s="616"/>
      <c r="L258" s="616">
        <v>7337</v>
      </c>
      <c r="M258" s="616">
        <v>5760</v>
      </c>
      <c r="N258" s="616"/>
      <c r="O258" s="616"/>
      <c r="P258" s="616"/>
      <c r="Q258" s="616"/>
      <c r="R258" s="707">
        <v>-155184</v>
      </c>
      <c r="S258" s="707">
        <v>-177000</v>
      </c>
      <c r="T258" s="707">
        <v>-180000</v>
      </c>
      <c r="U258" s="707">
        <v>-175000</v>
      </c>
      <c r="V258" s="707">
        <v>-178000</v>
      </c>
      <c r="W258" s="707">
        <v>-175000</v>
      </c>
      <c r="X258" s="707">
        <v>-170000</v>
      </c>
      <c r="Y258" s="707">
        <v>-177000</v>
      </c>
      <c r="Z258" s="707">
        <v>-169000</v>
      </c>
      <c r="AA258" s="707">
        <v>-184000</v>
      </c>
      <c r="AB258" s="707">
        <v>-208000</v>
      </c>
      <c r="AC258" s="616"/>
      <c r="AD258" s="616"/>
      <c r="AE258" s="616"/>
      <c r="AF258" s="34"/>
      <c r="AG258" s="34"/>
      <c r="AN258" s="9"/>
      <c r="AO258" s="2"/>
      <c r="AP258" s="2"/>
      <c r="AQ258" s="2"/>
      <c r="AR258" s="2"/>
    </row>
    <row r="259" spans="1:44" ht="13.15" customHeight="1">
      <c r="A259" s="616"/>
      <c r="B259" s="1160"/>
      <c r="C259" s="616"/>
      <c r="D259" s="616"/>
      <c r="E259" s="616"/>
      <c r="F259" s="616"/>
      <c r="G259" s="616"/>
      <c r="H259" s="616"/>
      <c r="I259" s="616"/>
      <c r="J259" s="616"/>
      <c r="K259" s="616"/>
      <c r="L259" s="616"/>
      <c r="M259" s="616"/>
      <c r="N259" s="616"/>
      <c r="O259" s="616"/>
      <c r="P259" s="616"/>
      <c r="Q259" s="616"/>
      <c r="R259" s="616"/>
      <c r="S259" s="616"/>
      <c r="T259" s="616"/>
      <c r="U259" s="616"/>
      <c r="V259" s="616"/>
      <c r="W259" s="616"/>
      <c r="X259" s="616"/>
      <c r="Y259" s="616"/>
      <c r="Z259" s="616"/>
      <c r="AA259" s="616"/>
      <c r="AB259" s="616"/>
      <c r="AC259" s="616"/>
      <c r="AD259" s="616"/>
      <c r="AE259" s="616"/>
      <c r="AF259" s="34"/>
      <c r="AG259" s="34"/>
      <c r="AN259" s="9"/>
      <c r="AO259" s="2"/>
      <c r="AP259" s="2"/>
      <c r="AQ259" s="2"/>
      <c r="AR259" s="2"/>
    </row>
    <row r="260" spans="1:44" ht="13.15" customHeight="1">
      <c r="A260" s="616"/>
      <c r="B260" s="1134" t="s">
        <v>119</v>
      </c>
      <c r="C260" s="702"/>
      <c r="D260" s="702"/>
      <c r="E260" s="616"/>
      <c r="F260" s="616"/>
      <c r="G260" s="616"/>
      <c r="H260" s="616"/>
      <c r="I260" s="616"/>
      <c r="J260" s="616"/>
      <c r="K260" s="616"/>
      <c r="L260" s="616"/>
      <c r="M260" s="616"/>
      <c r="N260" s="616"/>
      <c r="O260" s="616"/>
      <c r="P260" s="616"/>
      <c r="Q260" s="616"/>
      <c r="R260" s="616"/>
      <c r="S260" s="616"/>
      <c r="T260" s="616"/>
      <c r="U260" s="616"/>
      <c r="V260" s="616"/>
      <c r="W260" s="616"/>
      <c r="X260" s="616"/>
      <c r="Y260" s="616"/>
      <c r="Z260" s="616"/>
      <c r="AA260" s="616"/>
      <c r="AB260" s="616"/>
      <c r="AC260" s="616"/>
      <c r="AD260" s="616"/>
      <c r="AE260" s="616"/>
      <c r="AF260" s="34"/>
      <c r="AG260" s="34"/>
      <c r="AN260" s="9"/>
      <c r="AO260" s="2"/>
      <c r="AP260" s="2"/>
      <c r="AQ260" s="2"/>
      <c r="AR260" s="2"/>
    </row>
    <row r="261" spans="1:44" ht="13.15" customHeight="1">
      <c r="A261" s="616"/>
      <c r="B261" s="1111" t="s">
        <v>1156</v>
      </c>
      <c r="C261" s="616"/>
      <c r="D261" s="616"/>
      <c r="E261" s="616"/>
      <c r="F261" s="616"/>
      <c r="G261" s="616"/>
      <c r="H261" s="616"/>
      <c r="I261" s="616"/>
      <c r="J261" s="616"/>
      <c r="K261" s="616"/>
      <c r="L261" s="616"/>
      <c r="M261" s="616"/>
      <c r="N261" s="616"/>
      <c r="O261" s="616"/>
      <c r="P261" s="616"/>
      <c r="Q261" s="616"/>
      <c r="R261" s="616"/>
      <c r="S261" s="616">
        <v>-15000</v>
      </c>
      <c r="T261" s="616">
        <v>-14000</v>
      </c>
      <c r="U261" s="616">
        <v>-14000</v>
      </c>
      <c r="V261" s="616">
        <v>-25000</v>
      </c>
      <c r="W261" s="616">
        <v>-27000</v>
      </c>
      <c r="X261" s="616">
        <v>-32000</v>
      </c>
      <c r="Y261" s="616">
        <v>-37000</v>
      </c>
      <c r="Z261" s="616">
        <v>-36000</v>
      </c>
      <c r="AA261" s="616">
        <v>-36000</v>
      </c>
      <c r="AB261" s="616">
        <v>-40000</v>
      </c>
      <c r="AC261" s="616"/>
      <c r="AD261" s="616"/>
      <c r="AE261" s="616"/>
      <c r="AF261" s="34"/>
      <c r="AG261" s="34"/>
      <c r="AN261" s="9"/>
      <c r="AO261" s="2"/>
      <c r="AP261" s="2"/>
      <c r="AQ261" s="2"/>
      <c r="AR261" s="2"/>
    </row>
    <row r="262" spans="1:44" ht="13.15" customHeight="1">
      <c r="A262" s="616"/>
      <c r="B262" s="1111" t="s">
        <v>14</v>
      </c>
      <c r="C262" s="616"/>
      <c r="D262" s="616"/>
      <c r="E262" s="616"/>
      <c r="F262" s="616"/>
      <c r="G262" s="616"/>
      <c r="H262" s="616"/>
      <c r="I262" s="616"/>
      <c r="J262" s="616"/>
      <c r="K262" s="616"/>
      <c r="L262" s="616">
        <v>255</v>
      </c>
      <c r="M262" s="616">
        <v>323</v>
      </c>
      <c r="N262" s="616">
        <v>0</v>
      </c>
      <c r="O262" s="616"/>
      <c r="P262" s="616"/>
      <c r="Q262" s="616"/>
      <c r="R262" s="616"/>
      <c r="S262" s="616">
        <v>0</v>
      </c>
      <c r="T262" s="616">
        <v>0</v>
      </c>
      <c r="U262" s="616">
        <v>0</v>
      </c>
      <c r="V262" s="616">
        <v>0</v>
      </c>
      <c r="W262" s="616">
        <v>0</v>
      </c>
      <c r="X262" s="616">
        <v>0</v>
      </c>
      <c r="Y262" s="616">
        <v>0</v>
      </c>
      <c r="Z262" s="616">
        <v>0</v>
      </c>
      <c r="AA262" s="616">
        <v>0</v>
      </c>
      <c r="AB262" s="616">
        <v>-1000</v>
      </c>
      <c r="AC262" s="616"/>
      <c r="AD262" s="616"/>
      <c r="AE262" s="616"/>
      <c r="AF262" s="34"/>
      <c r="AG262" s="34"/>
      <c r="AN262" s="9"/>
      <c r="AO262" s="2"/>
      <c r="AP262" s="2"/>
      <c r="AQ262" s="2"/>
      <c r="AR262" s="2"/>
    </row>
    <row r="263" spans="1:44" ht="13.15" customHeight="1">
      <c r="A263" s="616"/>
      <c r="B263" s="1111" t="s">
        <v>1185</v>
      </c>
      <c r="C263" s="616"/>
      <c r="D263" s="616"/>
      <c r="E263" s="616"/>
      <c r="F263" s="616"/>
      <c r="G263" s="616"/>
      <c r="H263" s="616"/>
      <c r="I263" s="616"/>
      <c r="J263" s="616"/>
      <c r="K263" s="616"/>
      <c r="L263" s="616"/>
      <c r="M263" s="616"/>
      <c r="N263" s="616"/>
      <c r="O263" s="616"/>
      <c r="P263" s="616"/>
      <c r="Q263" s="616"/>
      <c r="R263" s="616"/>
      <c r="S263" s="702">
        <v>-1000</v>
      </c>
      <c r="T263" s="702">
        <v>-1000</v>
      </c>
      <c r="U263" s="702">
        <v>-1000</v>
      </c>
      <c r="V263" s="702">
        <v>-1000</v>
      </c>
      <c r="W263" s="702">
        <v>-1000</v>
      </c>
      <c r="X263" s="702">
        <v>-1000</v>
      </c>
      <c r="Y263" s="702">
        <v>-1000</v>
      </c>
      <c r="Z263" s="702">
        <v>0</v>
      </c>
      <c r="AA263" s="702">
        <v>0</v>
      </c>
      <c r="AB263" s="702">
        <v>0</v>
      </c>
      <c r="AC263" s="616"/>
      <c r="AD263" s="616"/>
      <c r="AE263" s="616"/>
      <c r="AF263" s="34"/>
      <c r="AG263" s="34"/>
      <c r="AN263" s="9"/>
      <c r="AO263" s="2"/>
      <c r="AP263" s="2"/>
      <c r="AQ263" s="2"/>
      <c r="AR263" s="2"/>
    </row>
    <row r="264" spans="1:44" ht="13.15" customHeight="1">
      <c r="A264" s="616"/>
      <c r="B264" s="1111" t="s">
        <v>1204</v>
      </c>
      <c r="C264" s="616"/>
      <c r="D264" s="616"/>
      <c r="E264" s="616"/>
      <c r="F264" s="616"/>
      <c r="G264" s="616"/>
      <c r="H264" s="616"/>
      <c r="I264" s="616"/>
      <c r="J264" s="616"/>
      <c r="K264" s="616"/>
      <c r="L264" s="616">
        <v>7337</v>
      </c>
      <c r="M264" s="616">
        <v>5760</v>
      </c>
      <c r="N264" s="616">
        <v>0</v>
      </c>
      <c r="O264" s="616">
        <v>0</v>
      </c>
      <c r="P264" s="616">
        <v>0</v>
      </c>
      <c r="Q264" s="616">
        <v>0</v>
      </c>
      <c r="R264" s="616"/>
      <c r="S264" s="616">
        <v>-16000</v>
      </c>
      <c r="T264" s="616">
        <v>-15000</v>
      </c>
      <c r="U264" s="616">
        <v>-15000</v>
      </c>
      <c r="V264" s="616">
        <v>-26000</v>
      </c>
      <c r="W264" s="616">
        <v>-28000</v>
      </c>
      <c r="X264" s="616">
        <v>-33000</v>
      </c>
      <c r="Y264" s="616">
        <v>-38000</v>
      </c>
      <c r="Z264" s="616">
        <v>-36000</v>
      </c>
      <c r="AA264" s="616">
        <v>-36000</v>
      </c>
      <c r="AB264" s="616">
        <v>-41000</v>
      </c>
      <c r="AC264" s="616"/>
      <c r="AD264" s="616"/>
      <c r="AE264" s="616"/>
      <c r="AF264" s="34"/>
      <c r="AG264" s="34"/>
      <c r="AN264" s="9"/>
      <c r="AO264" s="2"/>
      <c r="AP264" s="2"/>
      <c r="AQ264" s="2"/>
      <c r="AR264" s="2"/>
    </row>
    <row r="265" spans="1:44" ht="13.15" customHeight="1">
      <c r="A265" s="616"/>
      <c r="B265" s="1120"/>
      <c r="C265" s="616"/>
      <c r="D265" s="616"/>
      <c r="E265" s="616"/>
      <c r="F265" s="616"/>
      <c r="G265" s="616"/>
      <c r="H265" s="616"/>
      <c r="I265" s="616"/>
      <c r="J265" s="616"/>
      <c r="K265" s="616"/>
      <c r="L265" s="616"/>
      <c r="M265" s="616"/>
      <c r="N265" s="616"/>
      <c r="O265" s="616"/>
      <c r="P265" s="616"/>
      <c r="Q265" s="616"/>
      <c r="R265" s="616"/>
      <c r="S265" s="616"/>
      <c r="T265" s="616"/>
      <c r="U265" s="616"/>
      <c r="V265" s="616"/>
      <c r="W265" s="616"/>
      <c r="X265" s="616"/>
      <c r="Y265" s="616"/>
      <c r="Z265" s="616"/>
      <c r="AA265" s="616"/>
      <c r="AB265" s="616"/>
      <c r="AC265" s="616"/>
      <c r="AD265" s="616"/>
      <c r="AE265" s="616"/>
      <c r="AF265" s="34"/>
      <c r="AG265" s="34"/>
      <c r="AN265" s="9"/>
      <c r="AO265" s="2"/>
      <c r="AP265" s="2"/>
      <c r="AQ265" s="2"/>
      <c r="AR265" s="2"/>
    </row>
    <row r="266" spans="1:44" ht="13.15" customHeight="1">
      <c r="A266" s="616"/>
      <c r="B266" s="1120"/>
      <c r="C266" s="616"/>
      <c r="D266" s="631" t="s">
        <v>93</v>
      </c>
      <c r="E266" s="616"/>
      <c r="F266" s="616"/>
      <c r="G266" s="616"/>
      <c r="H266" s="616"/>
      <c r="I266" s="616"/>
      <c r="J266" s="616"/>
      <c r="K266" s="616"/>
      <c r="L266" s="616"/>
      <c r="M266" s="616"/>
      <c r="N266" s="616"/>
      <c r="O266" s="616"/>
      <c r="P266" s="616"/>
      <c r="Q266" s="616"/>
      <c r="R266" s="616"/>
      <c r="S266" s="616">
        <v>-193000</v>
      </c>
      <c r="T266" s="616">
        <v>-195000</v>
      </c>
      <c r="U266" s="616">
        <v>-190000</v>
      </c>
      <c r="V266" s="616">
        <v>-204000</v>
      </c>
      <c r="W266" s="616">
        <v>-203000</v>
      </c>
      <c r="X266" s="616">
        <v>-203000</v>
      </c>
      <c r="Y266" s="616">
        <v>-215000</v>
      </c>
      <c r="Z266" s="616">
        <v>-205000</v>
      </c>
      <c r="AA266" s="616">
        <v>-220000</v>
      </c>
      <c r="AB266" s="616">
        <v>-249000</v>
      </c>
      <c r="AC266" s="616"/>
      <c r="AD266" s="616"/>
      <c r="AE266" s="616"/>
      <c r="AF266" s="34"/>
      <c r="AG266" s="34"/>
      <c r="AN266" s="9"/>
      <c r="AO266" s="2"/>
      <c r="AP266" s="2"/>
      <c r="AQ266" s="2"/>
      <c r="AR266" s="2"/>
    </row>
    <row r="267" spans="1:44" ht="13.15" customHeight="1">
      <c r="A267" s="616"/>
      <c r="B267" s="1134" t="s">
        <v>40</v>
      </c>
      <c r="C267" s="702"/>
      <c r="D267" s="702"/>
      <c r="E267" s="616"/>
      <c r="F267" s="616"/>
      <c r="G267" s="616"/>
      <c r="H267" s="616"/>
      <c r="I267" s="616"/>
      <c r="J267" s="616"/>
      <c r="K267" s="616"/>
      <c r="L267" s="616"/>
      <c r="M267" s="616"/>
      <c r="N267" s="616"/>
      <c r="O267" s="616"/>
      <c r="P267" s="616"/>
      <c r="Q267" s="616"/>
      <c r="R267" s="616"/>
      <c r="S267" s="616"/>
      <c r="T267" s="616"/>
      <c r="U267" s="616"/>
      <c r="V267" s="616"/>
      <c r="W267" s="616"/>
      <c r="X267" s="616"/>
      <c r="Y267" s="616"/>
      <c r="Z267" s="616"/>
      <c r="AA267" s="616"/>
      <c r="AB267" s="616"/>
      <c r="AC267" s="616"/>
      <c r="AD267" s="616"/>
      <c r="AE267" s="616"/>
      <c r="AF267" s="34"/>
      <c r="AG267" s="34"/>
      <c r="AN267" s="9"/>
      <c r="AO267" s="2"/>
      <c r="AP267" s="2"/>
      <c r="AQ267" s="2"/>
      <c r="AR267" s="2"/>
    </row>
    <row r="268" spans="1:44" ht="13.15" customHeight="1">
      <c r="A268" s="616"/>
      <c r="B268" s="1394" t="s">
        <v>1333</v>
      </c>
      <c r="C268" s="616"/>
      <c r="D268" s="616"/>
      <c r="E268" s="616"/>
      <c r="F268" s="616"/>
      <c r="G268" s="616"/>
      <c r="H268" s="616"/>
      <c r="I268" s="616"/>
      <c r="J268" s="616"/>
      <c r="K268" s="616"/>
      <c r="L268" s="616"/>
      <c r="M268" s="616"/>
      <c r="N268" s="616"/>
      <c r="O268" s="616"/>
      <c r="P268" s="616"/>
      <c r="Q268" s="616"/>
      <c r="R268" s="616"/>
      <c r="S268" s="616">
        <v>-4000</v>
      </c>
      <c r="T268" s="616">
        <v>-69000</v>
      </c>
      <c r="U268" s="616"/>
      <c r="V268" s="616"/>
      <c r="W268" s="616">
        <v>-37000</v>
      </c>
      <c r="X268" s="616"/>
      <c r="Y268" s="616"/>
      <c r="Z268" s="616"/>
      <c r="AA268" s="616"/>
      <c r="AB268" s="616"/>
      <c r="AC268" s="616"/>
      <c r="AD268" s="616"/>
      <c r="AE268" s="616"/>
      <c r="AF268" s="34"/>
      <c r="AG268" s="34"/>
      <c r="AN268" s="9"/>
      <c r="AO268" s="2"/>
      <c r="AP268" s="2"/>
      <c r="AQ268" s="2"/>
      <c r="AR268" s="2"/>
    </row>
    <row r="269" spans="1:44" ht="13.15" customHeight="1">
      <c r="A269" s="616"/>
      <c r="B269" s="1111" t="s">
        <v>130</v>
      </c>
      <c r="C269" s="616"/>
      <c r="D269" s="616"/>
      <c r="E269" s="616"/>
      <c r="F269" s="616"/>
      <c r="G269" s="616"/>
      <c r="H269" s="616"/>
      <c r="I269" s="616"/>
      <c r="J269" s="616"/>
      <c r="K269" s="616"/>
      <c r="L269" s="616"/>
      <c r="M269" s="616"/>
      <c r="N269" s="616"/>
      <c r="O269" s="616"/>
      <c r="P269" s="616"/>
      <c r="Q269" s="616"/>
      <c r="R269" s="616"/>
      <c r="S269" s="702"/>
      <c r="T269" s="702"/>
      <c r="U269" s="702"/>
      <c r="V269" s="702"/>
      <c r="W269" s="702">
        <v>-250000</v>
      </c>
      <c r="X269" s="702"/>
      <c r="Y269" s="702"/>
      <c r="Z269" s="702"/>
      <c r="AA269" s="702"/>
      <c r="AB269" s="702"/>
      <c r="AC269" s="616"/>
      <c r="AD269" s="616"/>
      <c r="AE269" s="616"/>
      <c r="AF269" s="34"/>
      <c r="AG269" s="34"/>
      <c r="AN269" s="9"/>
      <c r="AO269" s="2"/>
      <c r="AP269" s="2"/>
      <c r="AQ269" s="2"/>
      <c r="AR269" s="2"/>
    </row>
    <row r="270" spans="1:44" ht="13.15" customHeight="1">
      <c r="A270" s="616"/>
      <c r="B270" s="1111"/>
      <c r="C270" s="616"/>
      <c r="D270" s="616"/>
      <c r="E270" s="616"/>
      <c r="F270" s="616"/>
      <c r="G270" s="616"/>
      <c r="H270" s="616"/>
      <c r="I270" s="616"/>
      <c r="J270" s="616"/>
      <c r="K270" s="616"/>
      <c r="L270" s="616"/>
      <c r="M270" s="616"/>
      <c r="N270" s="616"/>
      <c r="O270" s="616"/>
      <c r="P270" s="616"/>
      <c r="Q270" s="616"/>
      <c r="R270" s="616"/>
      <c r="S270" s="616">
        <v>-4000</v>
      </c>
      <c r="T270" s="616">
        <v>-69000</v>
      </c>
      <c r="U270" s="616">
        <v>0</v>
      </c>
      <c r="V270" s="616">
        <v>0</v>
      </c>
      <c r="W270" s="616">
        <v>-287000</v>
      </c>
      <c r="X270" s="616">
        <v>0</v>
      </c>
      <c r="Y270" s="616">
        <v>0</v>
      </c>
      <c r="Z270" s="616">
        <v>0</v>
      </c>
      <c r="AA270" s="616">
        <v>0</v>
      </c>
      <c r="AB270" s="616">
        <v>0</v>
      </c>
      <c r="AC270" s="616"/>
      <c r="AD270" s="616"/>
      <c r="AE270" s="616"/>
      <c r="AF270" s="34"/>
      <c r="AG270" s="34"/>
      <c r="AN270" s="9"/>
      <c r="AO270" s="2"/>
      <c r="AP270" s="2"/>
      <c r="AQ270" s="2"/>
      <c r="AR270" s="2"/>
    </row>
    <row r="271" spans="1:44" ht="13.15" customHeight="1">
      <c r="A271" s="616"/>
      <c r="B271" s="1120"/>
      <c r="C271" s="616"/>
      <c r="D271" s="616"/>
      <c r="E271" s="616"/>
      <c r="F271" s="616"/>
      <c r="G271" s="616"/>
      <c r="H271" s="616"/>
      <c r="I271" s="616"/>
      <c r="J271" s="616"/>
      <c r="K271" s="616"/>
      <c r="L271" s="616"/>
      <c r="M271" s="616"/>
      <c r="N271" s="616"/>
      <c r="O271" s="616"/>
      <c r="P271" s="616"/>
      <c r="Q271" s="616"/>
      <c r="R271" s="616"/>
      <c r="S271" s="616"/>
      <c r="T271" s="616"/>
      <c r="U271" s="616"/>
      <c r="V271" s="616"/>
      <c r="W271" s="616"/>
      <c r="X271" s="616"/>
      <c r="Y271" s="616"/>
      <c r="Z271" s="616"/>
      <c r="AA271" s="616"/>
      <c r="AB271" s="616"/>
      <c r="AC271" s="616"/>
      <c r="AD271" s="616"/>
      <c r="AE271" s="616"/>
      <c r="AF271" s="34"/>
      <c r="AG271" s="34"/>
      <c r="AN271" s="9"/>
      <c r="AO271" s="2"/>
      <c r="AP271" s="2"/>
      <c r="AQ271" s="2"/>
      <c r="AR271" s="2"/>
    </row>
    <row r="272" spans="1:44" ht="13.15" customHeight="1" thickBot="1">
      <c r="A272" s="616"/>
      <c r="B272" s="1134" t="s">
        <v>1226</v>
      </c>
      <c r="C272" s="702"/>
      <c r="D272" s="702"/>
      <c r="E272" s="616"/>
      <c r="F272" s="616"/>
      <c r="G272" s="616"/>
      <c r="H272" s="616"/>
      <c r="I272" s="616"/>
      <c r="J272" s="616"/>
      <c r="K272" s="616"/>
      <c r="L272" s="616">
        <v>-1021</v>
      </c>
      <c r="M272" s="616">
        <v>2603</v>
      </c>
      <c r="N272" s="616">
        <v>0</v>
      </c>
      <c r="O272" s="616">
        <v>0</v>
      </c>
      <c r="P272" s="616">
        <v>0</v>
      </c>
      <c r="Q272" s="616">
        <v>0</v>
      </c>
      <c r="R272" s="616"/>
      <c r="S272" s="725">
        <v>-197000</v>
      </c>
      <c r="T272" s="725">
        <v>-264000</v>
      </c>
      <c r="U272" s="725">
        <v>-190000</v>
      </c>
      <c r="V272" s="725">
        <v>-204000</v>
      </c>
      <c r="W272" s="725">
        <v>-490000</v>
      </c>
      <c r="X272" s="725">
        <v>-203000</v>
      </c>
      <c r="Y272" s="725">
        <v>-215000</v>
      </c>
      <c r="Z272" s="725">
        <v>-205000</v>
      </c>
      <c r="AA272" s="725">
        <v>-220000</v>
      </c>
      <c r="AB272" s="725">
        <v>-249000</v>
      </c>
      <c r="AC272" s="616"/>
      <c r="AD272" s="616"/>
      <c r="AE272" s="616"/>
      <c r="AF272" s="34"/>
      <c r="AG272" s="34"/>
      <c r="AN272" s="9"/>
      <c r="AO272" s="2"/>
      <c r="AP272" s="2"/>
      <c r="AQ272" s="2"/>
      <c r="AR272" s="2"/>
    </row>
    <row r="273" spans="1:44" ht="13.15" customHeight="1" thickTop="1">
      <c r="A273" s="616"/>
      <c r="B273" s="1111"/>
      <c r="C273" s="616"/>
      <c r="D273" s="616"/>
      <c r="E273" s="616"/>
      <c r="F273" s="616" t="e">
        <v>#REF!</v>
      </c>
      <c r="G273" s="616" t="e">
        <v>#REF!</v>
      </c>
      <c r="H273" s="616" t="e">
        <v>#REF!</v>
      </c>
      <c r="I273" s="616" t="e">
        <v>#REF!</v>
      </c>
      <c r="J273" s="616" t="e">
        <v>#REF!</v>
      </c>
      <c r="K273" s="616" t="e">
        <v>#REF!</v>
      </c>
      <c r="L273" s="616" t="e">
        <v>#REF!</v>
      </c>
      <c r="M273" s="616" t="e">
        <v>#REF!</v>
      </c>
      <c r="N273" s="616" t="e">
        <v>#REF!</v>
      </c>
      <c r="O273" s="616"/>
      <c r="P273" s="616"/>
      <c r="Q273" s="616"/>
      <c r="R273" s="616"/>
      <c r="S273" s="616"/>
      <c r="T273" s="616"/>
      <c r="U273" s="616"/>
      <c r="V273" s="616"/>
      <c r="W273" s="616"/>
      <c r="X273" s="616"/>
      <c r="Y273" s="616"/>
      <c r="Z273" s="616"/>
      <c r="AA273" s="616"/>
      <c r="AB273" s="616"/>
      <c r="AC273" s="616"/>
      <c r="AD273" s="616"/>
      <c r="AE273" s="616"/>
      <c r="AF273" s="34"/>
      <c r="AG273" s="34"/>
      <c r="AN273" s="9"/>
      <c r="AO273" s="2"/>
      <c r="AP273" s="2"/>
      <c r="AQ273" s="2"/>
      <c r="AR273" s="2"/>
    </row>
    <row r="274" spans="1:44">
      <c r="A274" s="616"/>
      <c r="B274" s="1161" t="s">
        <v>114</v>
      </c>
      <c r="C274" s="616"/>
      <c r="D274" s="616"/>
      <c r="E274" s="616"/>
      <c r="F274" s="616" t="e">
        <v>#REF!</v>
      </c>
      <c r="G274" s="616" t="e">
        <v>#REF!</v>
      </c>
      <c r="H274" s="616" t="e">
        <v>#REF!</v>
      </c>
      <c r="I274" s="616" t="e">
        <v>#REF!</v>
      </c>
      <c r="J274" s="616" t="e">
        <v>#REF!</v>
      </c>
      <c r="K274" s="616" t="e">
        <v>#REF!</v>
      </c>
      <c r="L274" s="616" t="e">
        <v>#REF!</v>
      </c>
      <c r="M274" s="616" t="e">
        <v>#REF!</v>
      </c>
      <c r="N274" s="616" t="e">
        <v>#REF!</v>
      </c>
      <c r="O274" s="616" t="e">
        <v>#REF!</v>
      </c>
      <c r="P274" s="616" t="e">
        <v>#REF!</v>
      </c>
      <c r="Q274" s="616" t="e">
        <v>#REF!</v>
      </c>
      <c r="R274" s="616">
        <v>0</v>
      </c>
      <c r="S274" s="616">
        <v>-193000</v>
      </c>
      <c r="T274" s="616">
        <v>-195000</v>
      </c>
      <c r="U274" s="616">
        <v>-190000</v>
      </c>
      <c r="V274" s="616">
        <v>-204000</v>
      </c>
      <c r="W274" s="616">
        <v>-203000</v>
      </c>
      <c r="X274" s="616">
        <v>-203000</v>
      </c>
      <c r="Y274" s="616">
        <v>-215000</v>
      </c>
      <c r="Z274" s="616">
        <v>-205000</v>
      </c>
      <c r="AA274" s="616">
        <v>-220000</v>
      </c>
      <c r="AB274" s="616">
        <v>-249000</v>
      </c>
      <c r="AC274" s="34"/>
      <c r="AD274" s="34"/>
      <c r="AE274" s="34"/>
      <c r="AF274" s="34"/>
      <c r="AG274" s="34"/>
      <c r="AN274" s="9"/>
      <c r="AO274" s="2"/>
      <c r="AP274" s="2"/>
      <c r="AQ274" s="2"/>
      <c r="AR274" s="2"/>
    </row>
    <row r="275" spans="1:44">
      <c r="B275" s="1111"/>
      <c r="C275" s="1121"/>
      <c r="D275" s="1121"/>
      <c r="W275" s="1121"/>
      <c r="AC275" s="34"/>
      <c r="AD275" s="34"/>
      <c r="AE275" s="34"/>
      <c r="AF275" s="34"/>
      <c r="AG275" s="34"/>
      <c r="AN275" s="9"/>
      <c r="AO275" s="2"/>
      <c r="AP275" s="2"/>
      <c r="AQ275" s="2"/>
      <c r="AR275" s="2"/>
    </row>
    <row r="276" spans="1:44">
      <c r="B276" s="1111" t="s">
        <v>74</v>
      </c>
      <c r="C276" s="1121"/>
      <c r="D276" s="1121"/>
      <c r="S276" s="45">
        <v>-177000</v>
      </c>
      <c r="T276" s="45">
        <v>-180000</v>
      </c>
      <c r="U276" s="45">
        <v>-175000</v>
      </c>
      <c r="V276" s="45">
        <v>-178000</v>
      </c>
      <c r="W276" s="1116">
        <v>-175000</v>
      </c>
      <c r="X276" s="45">
        <v>-170000</v>
      </c>
      <c r="Y276" s="45">
        <v>-177000</v>
      </c>
      <c r="Z276" s="45">
        <v>-169000</v>
      </c>
      <c r="AA276" s="45">
        <v>-184000</v>
      </c>
      <c r="AB276" s="45">
        <v>-208000</v>
      </c>
      <c r="AC276" s="45"/>
      <c r="AD276" s="34"/>
      <c r="AE276" s="34"/>
      <c r="AF276" s="34"/>
      <c r="AG276" s="34"/>
      <c r="AN276" s="9"/>
      <c r="AO276" s="2"/>
      <c r="AP276" s="2"/>
      <c r="AQ276" s="2"/>
      <c r="AR276" s="2"/>
    </row>
    <row r="277" spans="1:44">
      <c r="B277" s="1111" t="s">
        <v>1476</v>
      </c>
      <c r="C277" s="1111"/>
      <c r="D277" s="1111"/>
      <c r="S277" s="576"/>
      <c r="T277" s="576"/>
      <c r="U277" s="576"/>
      <c r="V277" s="576"/>
      <c r="W277" s="1153"/>
      <c r="X277" s="576"/>
      <c r="Y277" s="576"/>
      <c r="Z277" s="576"/>
      <c r="AA277" s="576"/>
      <c r="AB277" s="576"/>
      <c r="AC277" s="45"/>
      <c r="AD277" s="34"/>
      <c r="AE277" s="34"/>
      <c r="AF277" s="34"/>
      <c r="AG277" s="34"/>
      <c r="AN277" s="9"/>
      <c r="AO277" s="2"/>
      <c r="AP277" s="2"/>
      <c r="AQ277" s="2"/>
      <c r="AR277" s="2"/>
    </row>
    <row r="278" spans="1:44">
      <c r="B278" s="1111" t="s">
        <v>1404</v>
      </c>
      <c r="C278" s="1121"/>
      <c r="D278" s="1121"/>
      <c r="S278" s="125">
        <v>-177000</v>
      </c>
      <c r="T278" s="125">
        <v>-180000</v>
      </c>
      <c r="U278" s="125">
        <v>-175000</v>
      </c>
      <c r="V278" s="125">
        <v>-178000</v>
      </c>
      <c r="W278" s="1115">
        <v>-175000</v>
      </c>
      <c r="X278" s="125">
        <v>-170000</v>
      </c>
      <c r="Y278" s="125">
        <v>-177000</v>
      </c>
      <c r="Z278" s="125">
        <v>-169000</v>
      </c>
      <c r="AA278" s="125">
        <v>-184000</v>
      </c>
      <c r="AB278" s="125">
        <v>-208000</v>
      </c>
      <c r="AC278" s="45"/>
      <c r="AD278" s="34"/>
      <c r="AE278" s="34"/>
      <c r="AF278" s="34"/>
      <c r="AG278" s="34"/>
      <c r="AN278" s="9"/>
      <c r="AO278" s="2"/>
      <c r="AP278" s="2"/>
      <c r="AQ278" s="2"/>
      <c r="AR278" s="2"/>
    </row>
    <row r="279" spans="1:44">
      <c r="B279" s="1111"/>
      <c r="C279" s="1121"/>
      <c r="D279" s="1121"/>
      <c r="S279" s="45"/>
      <c r="T279" s="45"/>
      <c r="U279" s="45"/>
      <c r="V279" s="45"/>
      <c r="W279" s="1116"/>
      <c r="X279" s="45"/>
      <c r="Y279" s="45"/>
      <c r="Z279" s="45"/>
      <c r="AA279" s="45"/>
      <c r="AB279" s="45"/>
      <c r="AC279" s="45"/>
      <c r="AD279" s="34"/>
      <c r="AE279" s="34"/>
      <c r="AF279" s="34"/>
      <c r="AG279" s="34"/>
      <c r="AN279" s="9"/>
      <c r="AO279" s="2"/>
      <c r="AP279" s="2"/>
      <c r="AQ279" s="2"/>
      <c r="AR279" s="2"/>
    </row>
    <row r="280" spans="1:44">
      <c r="B280" s="1111" t="s">
        <v>119</v>
      </c>
      <c r="C280" s="1121"/>
      <c r="D280" s="1121"/>
      <c r="S280" s="985">
        <v>-16000</v>
      </c>
      <c r="T280" s="985">
        <v>-15000</v>
      </c>
      <c r="U280" s="985">
        <v>-15000</v>
      </c>
      <c r="V280" s="985">
        <v>-26000</v>
      </c>
      <c r="W280" s="1147">
        <v>-28000</v>
      </c>
      <c r="X280" s="985">
        <v>-33000</v>
      </c>
      <c r="Y280" s="985">
        <v>-38000</v>
      </c>
      <c r="Z280" s="985">
        <v>-36000</v>
      </c>
      <c r="AA280" s="985">
        <v>-36000</v>
      </c>
      <c r="AB280" s="985">
        <v>-41000</v>
      </c>
      <c r="AC280" s="1341"/>
      <c r="AD280" s="34"/>
      <c r="AE280" s="34"/>
      <c r="AF280" s="34"/>
      <c r="AG280" s="34"/>
      <c r="AN280" s="9"/>
      <c r="AO280" s="2"/>
      <c r="AP280" s="2"/>
      <c r="AQ280" s="2"/>
      <c r="AR280" s="2"/>
    </row>
    <row r="281" spans="1:44">
      <c r="B281" s="1161" t="s">
        <v>1403</v>
      </c>
      <c r="C281" s="1121"/>
      <c r="D281" s="1121"/>
      <c r="S281" s="125">
        <v>-193000</v>
      </c>
      <c r="T281" s="125">
        <v>-195000</v>
      </c>
      <c r="U281" s="125">
        <v>-190000</v>
      </c>
      <c r="V281" s="125">
        <v>-204000</v>
      </c>
      <c r="W281" s="1115">
        <v>-203000</v>
      </c>
      <c r="X281" s="125">
        <v>-203000</v>
      </c>
      <c r="Y281" s="125">
        <v>-215000</v>
      </c>
      <c r="Z281" s="125">
        <v>-205000</v>
      </c>
      <c r="AA281" s="125">
        <v>-220000</v>
      </c>
      <c r="AB281" s="125">
        <v>-249000</v>
      </c>
      <c r="AC281" s="45"/>
      <c r="AD281" s="34"/>
      <c r="AE281" s="34"/>
      <c r="AF281" s="34"/>
      <c r="AG281" s="34"/>
      <c r="AN281" s="9"/>
      <c r="AO281" s="2"/>
      <c r="AP281" s="2"/>
      <c r="AQ281" s="2"/>
      <c r="AR281" s="2"/>
    </row>
    <row r="282" spans="1:44">
      <c r="A282" s="4"/>
      <c r="B282" s="1159"/>
      <c r="C282" s="1159"/>
      <c r="D282" s="1192" t="s">
        <v>93</v>
      </c>
      <c r="E282" s="4"/>
      <c r="F282" s="4"/>
      <c r="G282" s="4"/>
      <c r="H282" s="4"/>
      <c r="I282" s="4"/>
      <c r="J282" s="4"/>
      <c r="K282" s="4"/>
      <c r="L282" s="4"/>
      <c r="M282" s="4"/>
      <c r="N282" s="4"/>
      <c r="O282" s="4"/>
      <c r="P282" s="4"/>
      <c r="Q282" s="4"/>
      <c r="R282" s="4"/>
      <c r="S282" s="18">
        <v>0</v>
      </c>
      <c r="T282" s="18">
        <v>0</v>
      </c>
      <c r="U282" s="18">
        <v>0</v>
      </c>
      <c r="V282" s="18">
        <v>0</v>
      </c>
      <c r="W282" s="576">
        <v>0</v>
      </c>
      <c r="X282" s="18">
        <v>0</v>
      </c>
      <c r="Y282" s="18">
        <v>0</v>
      </c>
      <c r="Z282" s="18">
        <v>0</v>
      </c>
      <c r="AA282" s="18">
        <v>0</v>
      </c>
      <c r="AB282" s="18">
        <v>0</v>
      </c>
      <c r="AC282" s="14"/>
      <c r="AD282" s="34"/>
      <c r="AE282" s="34"/>
      <c r="AF282" s="34"/>
      <c r="AG282" s="34"/>
      <c r="AN282" s="9"/>
      <c r="AO282" s="2"/>
      <c r="AP282" s="2"/>
      <c r="AQ282" s="2"/>
      <c r="AR282" s="2"/>
    </row>
    <row r="283" spans="1:44" ht="18">
      <c r="A283" s="1134" t="s">
        <v>1218</v>
      </c>
      <c r="B283" s="702"/>
      <c r="C283" s="1123"/>
      <c r="E283" s="34"/>
      <c r="F283" s="760"/>
      <c r="G283" s="760"/>
      <c r="H283" s="760"/>
      <c r="I283" s="760"/>
      <c r="J283" s="760"/>
      <c r="K283" s="760"/>
      <c r="L283" s="760"/>
      <c r="M283" s="760"/>
      <c r="N283" s="760"/>
      <c r="O283" s="760"/>
      <c r="P283" s="760"/>
      <c r="Q283" s="760"/>
      <c r="R283" s="760"/>
      <c r="S283" s="760"/>
      <c r="T283" s="760"/>
      <c r="U283" s="760"/>
      <c r="V283" s="760"/>
      <c r="W283" s="760"/>
      <c r="X283" s="760"/>
      <c r="Y283" s="760"/>
      <c r="Z283" s="760"/>
      <c r="AA283" s="760"/>
      <c r="AB283" s="1125"/>
      <c r="AD283" s="34"/>
      <c r="AE283" s="34"/>
      <c r="AF283" s="34"/>
      <c r="AG283" s="34"/>
      <c r="AN283" s="9"/>
      <c r="AO283" s="2"/>
      <c r="AP283" s="2"/>
      <c r="AQ283" s="2"/>
      <c r="AR283" s="2"/>
    </row>
    <row r="284" spans="1:44">
      <c r="A284" s="1256" t="s">
        <v>1264</v>
      </c>
      <c r="B284" s="707"/>
      <c r="C284" s="1111"/>
      <c r="E284" s="34"/>
      <c r="F284" s="760"/>
      <c r="G284" s="760"/>
      <c r="H284" s="760"/>
      <c r="I284" s="760"/>
      <c r="J284" s="760"/>
      <c r="K284" s="760"/>
      <c r="L284" s="760"/>
      <c r="M284" s="760"/>
      <c r="N284" s="760"/>
      <c r="O284" s="760"/>
      <c r="P284" s="760">
        <v>-131157</v>
      </c>
      <c r="Q284" s="760">
        <v>-150756</v>
      </c>
      <c r="R284" s="760">
        <v>-140503</v>
      </c>
      <c r="S284" s="760">
        <v>-162000</v>
      </c>
      <c r="T284" s="760">
        <v>-162000</v>
      </c>
      <c r="U284" s="760">
        <v>-161000</v>
      </c>
      <c r="V284" s="760">
        <v>-166000</v>
      </c>
      <c r="W284" s="760">
        <v>-161000</v>
      </c>
      <c r="X284" s="760">
        <v>-158000</v>
      </c>
      <c r="Y284" s="760">
        <v>-167000</v>
      </c>
      <c r="Z284" s="760">
        <v>-160000</v>
      </c>
      <c r="AA284" s="760">
        <v>-177000</v>
      </c>
      <c r="AB284" s="760">
        <v>-200000</v>
      </c>
      <c r="AD284" s="34"/>
      <c r="AE284" s="34"/>
      <c r="AF284" s="34"/>
      <c r="AG284" s="34"/>
      <c r="AN284" s="9"/>
      <c r="AO284" s="2"/>
      <c r="AP284" s="2"/>
      <c r="AQ284" s="2"/>
      <c r="AR284" s="2"/>
    </row>
    <row r="285" spans="1:44">
      <c r="A285" s="1256" t="s">
        <v>1381</v>
      </c>
      <c r="B285" s="707"/>
      <c r="C285" s="1111"/>
      <c r="E285" s="34"/>
      <c r="F285" s="760"/>
      <c r="G285" s="760"/>
      <c r="H285" s="760"/>
      <c r="I285" s="760"/>
      <c r="J285" s="760"/>
      <c r="K285" s="760"/>
      <c r="L285" s="760"/>
      <c r="M285" s="760"/>
      <c r="N285" s="760"/>
      <c r="O285" s="760"/>
      <c r="P285" s="760"/>
      <c r="Q285" s="760"/>
      <c r="R285" s="760"/>
      <c r="S285" s="760"/>
      <c r="T285" s="760"/>
      <c r="U285" s="760"/>
      <c r="V285" s="760">
        <v>0</v>
      </c>
      <c r="W285" s="760">
        <v>-250000</v>
      </c>
      <c r="X285" s="760"/>
      <c r="Y285" s="760"/>
      <c r="Z285" s="760"/>
      <c r="AA285" s="760"/>
      <c r="AB285" s="760"/>
      <c r="AD285" s="34"/>
      <c r="AE285" s="34"/>
      <c r="AF285" s="34"/>
      <c r="AG285" s="34"/>
      <c r="AN285" s="9"/>
      <c r="AO285" s="2"/>
      <c r="AP285" s="2"/>
      <c r="AQ285" s="2"/>
      <c r="AR285" s="2"/>
    </row>
    <row r="286" spans="1:44">
      <c r="A286" s="1256" t="s">
        <v>1189</v>
      </c>
      <c r="B286" s="707"/>
      <c r="C286" s="1111"/>
      <c r="E286" s="34"/>
      <c r="F286" s="760"/>
      <c r="G286" s="760"/>
      <c r="H286" s="760"/>
      <c r="I286" s="760"/>
      <c r="J286" s="760"/>
      <c r="K286" s="760"/>
      <c r="L286" s="760"/>
      <c r="M286" s="760"/>
      <c r="N286" s="760"/>
      <c r="O286" s="760"/>
      <c r="P286" s="760"/>
      <c r="Q286" s="760"/>
      <c r="R286" s="760">
        <v>-14681</v>
      </c>
      <c r="S286" s="760">
        <v>-15000</v>
      </c>
      <c r="T286" s="760">
        <v>-18000</v>
      </c>
      <c r="U286" s="760">
        <v>-14000</v>
      </c>
      <c r="V286" s="760">
        <v>-12000</v>
      </c>
      <c r="W286" s="760">
        <v>-14000</v>
      </c>
      <c r="X286" s="760">
        <v>-12000</v>
      </c>
      <c r="Y286" s="760">
        <v>-10000</v>
      </c>
      <c r="Z286" s="760">
        <v>-6000</v>
      </c>
      <c r="AA286" s="760">
        <v>-4000</v>
      </c>
      <c r="AB286" s="760">
        <v>-4000</v>
      </c>
      <c r="AD286" s="34"/>
      <c r="AE286" s="34"/>
      <c r="AF286" s="34"/>
      <c r="AG286" s="34"/>
      <c r="AN286" s="9"/>
      <c r="AO286" s="2"/>
      <c r="AP286" s="2"/>
      <c r="AQ286" s="2"/>
      <c r="AR286" s="2"/>
    </row>
    <row r="287" spans="1:44">
      <c r="A287" s="1256" t="s">
        <v>1163</v>
      </c>
      <c r="B287" s="707"/>
      <c r="C287" s="1111"/>
      <c r="E287" s="34"/>
      <c r="F287" s="760"/>
      <c r="G287" s="760"/>
      <c r="H287" s="760"/>
      <c r="I287" s="760"/>
      <c r="J287" s="760"/>
      <c r="K287" s="760"/>
      <c r="L287" s="760"/>
      <c r="M287" s="760"/>
      <c r="N287" s="760"/>
      <c r="O287" s="760"/>
      <c r="P287" s="760"/>
      <c r="Q287" s="760"/>
      <c r="R287" s="760"/>
      <c r="S287" s="760"/>
      <c r="T287" s="760"/>
      <c r="U287" s="760"/>
      <c r="V287" s="760"/>
      <c r="W287" s="760"/>
      <c r="X287" s="760"/>
      <c r="Y287" s="760"/>
      <c r="Z287" s="760">
        <v>-3000</v>
      </c>
      <c r="AA287" s="760">
        <v>-3000</v>
      </c>
      <c r="AB287" s="760">
        <v>-4000</v>
      </c>
      <c r="AD287" s="34"/>
      <c r="AE287" s="34"/>
      <c r="AF287" s="34"/>
      <c r="AG287" s="34"/>
      <c r="AN287" s="9"/>
      <c r="AO287" s="2"/>
      <c r="AP287" s="2"/>
      <c r="AQ287" s="2"/>
      <c r="AR287" s="2"/>
    </row>
    <row r="288" spans="1:44">
      <c r="A288" s="1256" t="s">
        <v>1333</v>
      </c>
      <c r="B288" s="707"/>
      <c r="C288" s="1111"/>
      <c r="E288" s="34"/>
      <c r="F288" s="760"/>
      <c r="G288" s="760"/>
      <c r="H288" s="760"/>
      <c r="I288" s="760"/>
      <c r="J288" s="760"/>
      <c r="K288" s="760"/>
      <c r="L288" s="760"/>
      <c r="M288" s="760"/>
      <c r="N288" s="760"/>
      <c r="O288" s="760"/>
      <c r="P288" s="760"/>
      <c r="Q288" s="760"/>
      <c r="R288" s="699"/>
      <c r="S288" s="699">
        <v>-4000</v>
      </c>
      <c r="T288" s="699">
        <v>-69000</v>
      </c>
      <c r="U288" s="699"/>
      <c r="V288" s="699"/>
      <c r="W288" s="699">
        <v>-37000</v>
      </c>
      <c r="X288" s="699"/>
      <c r="Y288" s="699"/>
      <c r="Z288" s="699"/>
      <c r="AA288" s="699"/>
      <c r="AB288" s="699"/>
      <c r="AD288" s="34"/>
      <c r="AE288" s="34"/>
      <c r="AF288" s="34"/>
      <c r="AG288" s="34"/>
      <c r="AN288" s="9"/>
      <c r="AO288" s="2"/>
      <c r="AP288" s="2"/>
      <c r="AQ288" s="2"/>
      <c r="AR288" s="2"/>
    </row>
    <row r="289" spans="1:44">
      <c r="A289" s="1256" t="s">
        <v>1352</v>
      </c>
      <c r="B289" s="1524"/>
      <c r="C289" s="1524"/>
      <c r="E289" s="34"/>
      <c r="F289" s="760"/>
      <c r="G289" s="760"/>
      <c r="H289" s="760"/>
      <c r="I289" s="760"/>
      <c r="J289" s="760"/>
      <c r="K289" s="760"/>
      <c r="L289" s="760"/>
      <c r="M289" s="760"/>
      <c r="N289" s="760"/>
      <c r="O289" s="760"/>
      <c r="P289" s="760"/>
      <c r="Q289" s="760"/>
      <c r="R289" s="760">
        <v>-155184</v>
      </c>
      <c r="S289" s="760">
        <v>-181000</v>
      </c>
      <c r="T289" s="760">
        <v>-249000</v>
      </c>
      <c r="U289" s="760">
        <v>-175000</v>
      </c>
      <c r="V289" s="760">
        <v>-178000</v>
      </c>
      <c r="W289" s="760">
        <v>-462000</v>
      </c>
      <c r="X289" s="760">
        <v>-170000</v>
      </c>
      <c r="Y289" s="760">
        <v>-177000</v>
      </c>
      <c r="Z289" s="760">
        <v>-169000</v>
      </c>
      <c r="AA289" s="760">
        <v>-184000</v>
      </c>
      <c r="AB289" s="760">
        <v>-208000</v>
      </c>
      <c r="AD289" s="34"/>
      <c r="AE289" s="34"/>
      <c r="AF289" s="34"/>
      <c r="AG289" s="34"/>
      <c r="AN289" s="9"/>
      <c r="AO289" s="2"/>
      <c r="AP289" s="2"/>
      <c r="AQ289" s="2"/>
      <c r="AR289" s="2"/>
    </row>
    <row r="290" spans="1:44">
      <c r="A290" s="1256" t="s">
        <v>1368</v>
      </c>
      <c r="B290" s="1524"/>
      <c r="C290" s="1524"/>
      <c r="E290" s="34"/>
      <c r="F290" s="760"/>
      <c r="G290" s="760"/>
      <c r="H290" s="760"/>
      <c r="I290" s="760"/>
      <c r="J290" s="760"/>
      <c r="K290" s="760"/>
      <c r="L290" s="760"/>
      <c r="M290" s="760"/>
      <c r="N290" s="760"/>
      <c r="O290" s="760"/>
      <c r="P290" s="760"/>
      <c r="Q290" s="760"/>
      <c r="R290" s="699"/>
      <c r="S290" s="699">
        <v>-4000</v>
      </c>
      <c r="T290" s="699">
        <v>-69000</v>
      </c>
      <c r="U290" s="699">
        <v>0</v>
      </c>
      <c r="V290" s="699">
        <v>0</v>
      </c>
      <c r="W290" s="699">
        <v>-287000</v>
      </c>
      <c r="X290" s="699">
        <v>0</v>
      </c>
      <c r="Y290" s="699">
        <v>0</v>
      </c>
      <c r="Z290" s="699">
        <v>0</v>
      </c>
      <c r="AA290" s="699">
        <v>0</v>
      </c>
      <c r="AB290" s="699">
        <v>0</v>
      </c>
      <c r="AD290" s="34"/>
      <c r="AE290" s="34"/>
      <c r="AF290" s="34"/>
      <c r="AG290" s="34"/>
      <c r="AN290" s="9"/>
      <c r="AO290" s="2"/>
      <c r="AP290" s="2"/>
      <c r="AQ290" s="2"/>
      <c r="AR290" s="2"/>
    </row>
    <row r="291" spans="1:44">
      <c r="A291" s="1256" t="s">
        <v>1369</v>
      </c>
      <c r="B291" s="1524"/>
      <c r="C291" s="1524"/>
      <c r="E291" s="34"/>
      <c r="F291" s="760"/>
      <c r="G291" s="760"/>
      <c r="H291" s="760"/>
      <c r="I291" s="760"/>
      <c r="J291" s="760"/>
      <c r="K291" s="760"/>
      <c r="L291" s="760"/>
      <c r="M291" s="760"/>
      <c r="N291" s="760"/>
      <c r="O291" s="760"/>
      <c r="P291" s="760"/>
      <c r="Q291" s="760"/>
      <c r="R291" s="760"/>
      <c r="S291" s="760">
        <v>-177000</v>
      </c>
      <c r="T291" s="760">
        <v>-180000</v>
      </c>
      <c r="U291" s="760">
        <v>-175000</v>
      </c>
      <c r="V291" s="760">
        <v>-178000</v>
      </c>
      <c r="W291" s="760">
        <v>-175000</v>
      </c>
      <c r="X291" s="760">
        <v>-170000</v>
      </c>
      <c r="Y291" s="760">
        <v>-177000</v>
      </c>
      <c r="Z291" s="760">
        <v>-169000</v>
      </c>
      <c r="AA291" s="760">
        <v>-184000</v>
      </c>
      <c r="AB291" s="760">
        <v>-208000</v>
      </c>
      <c r="AD291" s="34"/>
      <c r="AE291" s="34"/>
      <c r="AF291" s="34"/>
      <c r="AG291" s="34"/>
      <c r="AN291" s="9"/>
      <c r="AO291" s="2"/>
      <c r="AP291" s="2"/>
      <c r="AQ291" s="2"/>
      <c r="AR291" s="2"/>
    </row>
    <row r="292" spans="1:44">
      <c r="A292" s="1524"/>
      <c r="B292" s="1524"/>
      <c r="C292" s="1524"/>
      <c r="D292" s="1276" t="s">
        <v>93</v>
      </c>
      <c r="E292" s="34"/>
      <c r="F292" s="760"/>
      <c r="G292" s="760"/>
      <c r="H292" s="760"/>
      <c r="I292" s="760"/>
      <c r="J292" s="760"/>
      <c r="K292" s="760"/>
      <c r="L292" s="760"/>
      <c r="M292" s="760"/>
      <c r="N292" s="760"/>
      <c r="O292" s="760"/>
      <c r="P292" s="760"/>
      <c r="Q292" s="760"/>
      <c r="R292" s="760"/>
      <c r="S292" s="760">
        <v>0</v>
      </c>
      <c r="T292" s="760">
        <v>0</v>
      </c>
      <c r="U292" s="760">
        <v>0</v>
      </c>
      <c r="V292" s="760">
        <v>0</v>
      </c>
      <c r="W292" s="760">
        <v>0</v>
      </c>
      <c r="X292" s="760">
        <v>0</v>
      </c>
      <c r="Y292" s="760">
        <v>0</v>
      </c>
      <c r="Z292" s="760">
        <v>0</v>
      </c>
      <c r="AA292" s="760">
        <v>0</v>
      </c>
      <c r="AB292" s="760">
        <v>0</v>
      </c>
      <c r="AD292" s="34"/>
      <c r="AE292" s="34"/>
      <c r="AF292" s="34"/>
      <c r="AG292" s="34"/>
      <c r="AN292" s="9"/>
      <c r="AO292" s="2"/>
      <c r="AP292" s="2"/>
      <c r="AQ292" s="2"/>
      <c r="AR292" s="2"/>
    </row>
    <row r="293" spans="1:44">
      <c r="A293" s="1375" t="s">
        <v>331</v>
      </c>
      <c r="B293" s="1375"/>
      <c r="C293" s="1375"/>
      <c r="D293" s="4"/>
      <c r="E293" s="34"/>
      <c r="F293" s="760"/>
      <c r="G293" s="760"/>
      <c r="H293" s="760"/>
      <c r="I293" s="760"/>
      <c r="J293" s="760"/>
      <c r="K293" s="760"/>
      <c r="L293" s="760"/>
      <c r="M293" s="760"/>
      <c r="N293" s="760"/>
      <c r="O293" s="760"/>
      <c r="P293" s="760"/>
      <c r="Q293" s="760"/>
      <c r="R293" s="760"/>
      <c r="S293" s="760"/>
      <c r="T293" s="760"/>
      <c r="U293" s="760"/>
      <c r="V293" s="760"/>
      <c r="W293" s="760"/>
      <c r="X293" s="760"/>
      <c r="Y293" s="760"/>
      <c r="Z293" s="760"/>
      <c r="AA293" s="760"/>
      <c r="AB293" s="760"/>
      <c r="AD293" s="34"/>
      <c r="AE293" s="34"/>
      <c r="AF293" s="34"/>
      <c r="AG293" s="34"/>
      <c r="AN293" s="9"/>
      <c r="AO293" s="2"/>
      <c r="AP293" s="2"/>
      <c r="AQ293" s="2"/>
      <c r="AR293" s="2"/>
    </row>
    <row r="294" spans="1:44">
      <c r="A294" s="1349" t="s">
        <v>1369</v>
      </c>
      <c r="B294" s="1524"/>
      <c r="C294" s="1524"/>
      <c r="E294" s="733"/>
      <c r="F294" s="729"/>
      <c r="G294" s="729"/>
      <c r="H294" s="729"/>
      <c r="I294" s="729"/>
      <c r="J294" s="729"/>
      <c r="K294" s="729"/>
      <c r="L294" s="616"/>
      <c r="M294" s="616"/>
      <c r="N294" s="616"/>
      <c r="O294" s="616"/>
      <c r="P294" s="616"/>
      <c r="Q294" s="616"/>
      <c r="R294" s="760">
        <v>-155184</v>
      </c>
      <c r="S294" s="760">
        <v>-177000</v>
      </c>
      <c r="T294" s="760">
        <v>-180000</v>
      </c>
      <c r="U294" s="760">
        <v>-175000</v>
      </c>
      <c r="V294" s="760">
        <v>-178000</v>
      </c>
      <c r="W294" s="760">
        <v>-175000</v>
      </c>
      <c r="X294" s="760">
        <v>-170000</v>
      </c>
      <c r="Y294" s="760">
        <v>-177000</v>
      </c>
      <c r="Z294" s="760">
        <v>-169000</v>
      </c>
      <c r="AA294" s="760">
        <v>-184000</v>
      </c>
      <c r="AB294" s="760">
        <v>-208000</v>
      </c>
      <c r="AD294" s="34"/>
      <c r="AE294" s="34"/>
      <c r="AF294" s="34"/>
      <c r="AG294" s="34"/>
      <c r="AN294" s="9"/>
      <c r="AO294" s="2"/>
      <c r="AP294" s="2"/>
      <c r="AQ294" s="2"/>
      <c r="AR294" s="2"/>
    </row>
    <row r="295" spans="1:44">
      <c r="A295" s="1349" t="s">
        <v>41</v>
      </c>
      <c r="B295" s="1524"/>
      <c r="C295" s="1524"/>
      <c r="E295" s="733"/>
      <c r="F295" s="729"/>
      <c r="G295" s="729"/>
      <c r="H295" s="729"/>
      <c r="I295" s="729"/>
      <c r="J295" s="729"/>
      <c r="K295" s="729"/>
      <c r="L295" s="616"/>
      <c r="M295" s="616"/>
      <c r="N295" s="616"/>
      <c r="O295" s="616"/>
      <c r="P295" s="616"/>
      <c r="Q295" s="616"/>
      <c r="R295" s="699"/>
      <c r="S295" s="699">
        <v>-193000</v>
      </c>
      <c r="T295" s="699">
        <v>-195000</v>
      </c>
      <c r="U295" s="699">
        <v>-190000</v>
      </c>
      <c r="V295" s="699">
        <v>-204000</v>
      </c>
      <c r="W295" s="699">
        <v>-205000</v>
      </c>
      <c r="X295" s="699">
        <v>-203000</v>
      </c>
      <c r="Y295" s="699">
        <v>-215000</v>
      </c>
      <c r="Z295" s="699">
        <v>-205000</v>
      </c>
      <c r="AA295" s="699">
        <v>-220000</v>
      </c>
      <c r="AB295" s="699">
        <v>-249000</v>
      </c>
      <c r="AD295" s="34"/>
      <c r="AE295" s="34"/>
      <c r="AF295" s="34"/>
      <c r="AG295" s="34"/>
      <c r="AN295" s="9"/>
      <c r="AO295" s="2"/>
      <c r="AP295" s="2"/>
      <c r="AQ295" s="2"/>
      <c r="AR295" s="2"/>
    </row>
    <row r="296" spans="1:44">
      <c r="A296" s="1349" t="s">
        <v>127</v>
      </c>
      <c r="B296" s="1524"/>
      <c r="C296" s="1524"/>
      <c r="E296" s="733"/>
      <c r="F296" s="729"/>
      <c r="G296" s="729"/>
      <c r="H296" s="729"/>
      <c r="I296" s="729"/>
      <c r="J296" s="729"/>
      <c r="K296" s="729"/>
      <c r="L296" s="616"/>
      <c r="M296" s="616"/>
      <c r="N296" s="616"/>
      <c r="O296" s="616"/>
      <c r="P296" s="616"/>
      <c r="Q296" s="616"/>
      <c r="R296" s="760"/>
      <c r="S296" s="760">
        <v>-16000</v>
      </c>
      <c r="T296" s="760">
        <v>-15000</v>
      </c>
      <c r="U296" s="760">
        <v>-15000</v>
      </c>
      <c r="V296" s="760">
        <v>-26000</v>
      </c>
      <c r="W296" s="760">
        <v>-30000</v>
      </c>
      <c r="X296" s="760">
        <v>-33000</v>
      </c>
      <c r="Y296" s="760">
        <v>-38000</v>
      </c>
      <c r="Z296" s="760">
        <v>-36000</v>
      </c>
      <c r="AA296" s="760">
        <v>-36000</v>
      </c>
      <c r="AB296" s="760">
        <v>-41000</v>
      </c>
      <c r="AD296" s="34"/>
      <c r="AE296" s="34"/>
      <c r="AF296" s="34"/>
      <c r="AG296" s="34"/>
      <c r="AN296" s="9"/>
      <c r="AO296" s="2"/>
      <c r="AP296" s="2"/>
      <c r="AQ296" s="2"/>
      <c r="AR296" s="2"/>
    </row>
    <row r="297" spans="1:44">
      <c r="A297" s="1349" t="s">
        <v>1383</v>
      </c>
      <c r="B297" s="1524"/>
      <c r="C297" s="1524"/>
      <c r="E297" s="733"/>
      <c r="F297" s="729"/>
      <c r="G297" s="729"/>
      <c r="H297" s="729"/>
      <c r="I297" s="729"/>
      <c r="J297" s="729"/>
      <c r="K297" s="729"/>
      <c r="L297" s="616"/>
      <c r="M297" s="616"/>
      <c r="N297" s="616"/>
      <c r="O297" s="616"/>
      <c r="P297" s="616"/>
      <c r="Q297" s="616"/>
      <c r="R297" s="699"/>
      <c r="S297" s="702">
        <v>-16000</v>
      </c>
      <c r="T297" s="702">
        <v>-15000</v>
      </c>
      <c r="U297" s="702">
        <v>-15000</v>
      </c>
      <c r="V297" s="702">
        <v>-26000</v>
      </c>
      <c r="W297" s="702">
        <v>-28000</v>
      </c>
      <c r="X297" s="702">
        <v>-33000</v>
      </c>
      <c r="Y297" s="702">
        <v>-38000</v>
      </c>
      <c r="Z297" s="702">
        <v>-36000</v>
      </c>
      <c r="AA297" s="702">
        <v>-36000</v>
      </c>
      <c r="AB297" s="702">
        <v>-41000</v>
      </c>
      <c r="AD297" s="34"/>
      <c r="AE297" s="34"/>
      <c r="AF297" s="34"/>
      <c r="AG297" s="34"/>
      <c r="AN297" s="9"/>
      <c r="AO297" s="2"/>
      <c r="AP297" s="2"/>
      <c r="AQ297" s="2"/>
      <c r="AR297" s="2"/>
    </row>
    <row r="298" spans="1:44">
      <c r="A298" s="9"/>
      <c r="B298" s="1393"/>
      <c r="C298" s="1524"/>
      <c r="D298" s="1509"/>
      <c r="E298" s="733"/>
      <c r="F298" s="729"/>
      <c r="G298" s="729"/>
      <c r="H298" s="729"/>
      <c r="I298" s="729"/>
      <c r="J298" s="729"/>
      <c r="K298" s="729"/>
      <c r="L298" s="616"/>
      <c r="M298" s="616"/>
      <c r="N298" s="616"/>
      <c r="O298" s="616"/>
      <c r="P298" s="616"/>
      <c r="Q298" s="616"/>
      <c r="R298" s="1103"/>
      <c r="S298" s="1374">
        <v>0</v>
      </c>
      <c r="T298" s="1374">
        <v>0</v>
      </c>
      <c r="U298" s="1374">
        <v>0</v>
      </c>
      <c r="V298" s="1374">
        <v>0</v>
      </c>
      <c r="W298" s="1480" t="s">
        <v>1384</v>
      </c>
      <c r="X298" s="1374">
        <v>0</v>
      </c>
      <c r="Y298" s="1374">
        <v>0</v>
      </c>
      <c r="Z298" s="1374">
        <v>0</v>
      </c>
      <c r="AA298" s="1374">
        <v>0</v>
      </c>
      <c r="AB298" s="1374">
        <v>0</v>
      </c>
      <c r="AD298" s="34"/>
      <c r="AE298" s="34"/>
      <c r="AF298" s="34"/>
      <c r="AG298" s="34"/>
      <c r="AN298" s="9"/>
      <c r="AO298" s="2"/>
      <c r="AP298" s="2"/>
      <c r="AQ298" s="2"/>
      <c r="AR298" s="2"/>
    </row>
    <row r="299" spans="1:44">
      <c r="A299" s="9"/>
      <c r="B299" s="9"/>
      <c r="C299" s="9"/>
      <c r="D299" s="9"/>
      <c r="E299" s="616"/>
      <c r="F299" s="616"/>
      <c r="G299" s="616"/>
      <c r="H299" s="616"/>
      <c r="I299" s="616"/>
      <c r="J299" s="616"/>
      <c r="K299" s="616"/>
      <c r="L299" s="616"/>
      <c r="M299" s="616"/>
      <c r="N299" s="616"/>
      <c r="O299" s="616"/>
      <c r="P299" s="616"/>
      <c r="Q299" s="616"/>
      <c r="R299" s="616"/>
      <c r="S299" s="616"/>
      <c r="T299" s="616"/>
      <c r="U299" s="616"/>
      <c r="V299" s="616"/>
      <c r="W299" s="45">
        <v>2000</v>
      </c>
      <c r="X299" s="616"/>
      <c r="Y299" s="616"/>
      <c r="Z299" s="616"/>
      <c r="AA299" s="616"/>
      <c r="AB299" s="616"/>
      <c r="AD299" s="34"/>
      <c r="AE299" s="34"/>
      <c r="AF299" s="34"/>
      <c r="AG299" s="34"/>
      <c r="AN299" s="9"/>
      <c r="AO299" s="2"/>
      <c r="AP299" s="2"/>
      <c r="AQ299" s="2"/>
      <c r="AR299" s="2"/>
    </row>
    <row r="300" spans="1:44">
      <c r="A300" s="10"/>
      <c r="B300" s="10"/>
      <c r="C300" s="10"/>
      <c r="D300" s="10"/>
      <c r="E300" s="702"/>
      <c r="F300" s="702"/>
      <c r="G300" s="702"/>
      <c r="H300" s="702"/>
      <c r="I300" s="702"/>
      <c r="J300" s="702"/>
      <c r="K300" s="702"/>
      <c r="L300" s="702"/>
      <c r="M300" s="702"/>
      <c r="N300" s="702"/>
      <c r="O300" s="702"/>
      <c r="P300" s="702"/>
      <c r="Q300" s="702"/>
      <c r="R300" s="980">
        <v>2011</v>
      </c>
      <c r="S300" s="980">
        <v>2012</v>
      </c>
      <c r="T300" s="980">
        <v>2013</v>
      </c>
      <c r="U300" s="980">
        <v>2014</v>
      </c>
      <c r="V300" s="980">
        <v>2015</v>
      </c>
      <c r="W300" s="980">
        <v>2016</v>
      </c>
      <c r="X300" s="980">
        <v>2017</v>
      </c>
      <c r="Y300" s="980">
        <v>2018</v>
      </c>
      <c r="Z300" s="980">
        <v>2019</v>
      </c>
      <c r="AA300" s="980">
        <v>2020</v>
      </c>
      <c r="AB300" s="980">
        <v>2021</v>
      </c>
      <c r="AD300" s="34"/>
      <c r="AE300" s="34"/>
      <c r="AF300" s="34"/>
      <c r="AG300" s="34"/>
      <c r="AN300" s="9"/>
      <c r="AO300" s="2"/>
      <c r="AP300" s="2"/>
      <c r="AQ300" s="2"/>
      <c r="AR300" s="2"/>
    </row>
    <row r="301" spans="1:44" ht="18">
      <c r="A301" s="1501" t="s">
        <v>1390</v>
      </c>
      <c r="B301" s="1501"/>
      <c r="C301" s="1501"/>
      <c r="D301" s="1501"/>
      <c r="E301" s="616"/>
      <c r="F301" s="616"/>
      <c r="G301" s="616"/>
      <c r="H301" s="616"/>
      <c r="I301" s="616"/>
      <c r="J301" s="616"/>
      <c r="K301" s="616"/>
      <c r="L301" s="616"/>
      <c r="M301" s="616"/>
      <c r="N301" s="616"/>
      <c r="O301" s="616"/>
      <c r="P301" s="616"/>
      <c r="Q301" s="616"/>
      <c r="R301" s="616"/>
      <c r="S301" s="616"/>
      <c r="T301" s="616"/>
      <c r="U301" s="616"/>
      <c r="V301" s="616"/>
      <c r="W301" s="616"/>
      <c r="X301" s="616"/>
      <c r="Y301" s="616"/>
      <c r="Z301" s="616"/>
      <c r="AA301" s="616"/>
      <c r="AB301" s="1083">
        <v>2.6</v>
      </c>
      <c r="AD301" s="34"/>
      <c r="AE301" s="34"/>
      <c r="AF301" s="34"/>
      <c r="AG301" s="34"/>
      <c r="AN301" s="9"/>
      <c r="AO301" s="2"/>
      <c r="AP301" s="2"/>
      <c r="AQ301" s="2"/>
      <c r="AR301" s="2"/>
    </row>
    <row r="302" spans="1:44">
      <c r="A302" s="1524"/>
      <c r="B302" s="616" t="s">
        <v>1393</v>
      </c>
      <c r="C302" s="616"/>
      <c r="D302" s="616"/>
      <c r="E302" s="616"/>
      <c r="F302" s="616"/>
      <c r="G302" s="616"/>
      <c r="H302" s="616"/>
      <c r="I302" s="616"/>
      <c r="J302" s="616"/>
      <c r="K302" s="616"/>
      <c r="L302" s="616"/>
      <c r="M302" s="616"/>
      <c r="N302" s="616"/>
      <c r="O302" s="616"/>
      <c r="P302" s="616"/>
      <c r="Q302" s="616"/>
      <c r="R302" s="616"/>
      <c r="S302" s="616"/>
      <c r="T302" s="616"/>
      <c r="U302" s="616"/>
      <c r="V302" s="616"/>
      <c r="W302" s="616"/>
      <c r="X302" s="616"/>
      <c r="Y302" s="616"/>
      <c r="Z302" s="616"/>
      <c r="AA302" s="616"/>
      <c r="AB302" s="1108"/>
      <c r="AD302" s="34"/>
      <c r="AE302" s="34"/>
      <c r="AF302" s="34"/>
      <c r="AG302" s="34"/>
      <c r="AN302" s="9"/>
      <c r="AO302" s="2"/>
      <c r="AP302" s="2"/>
      <c r="AQ302" s="2"/>
      <c r="AR302" s="2"/>
    </row>
    <row r="303" spans="1:44">
      <c r="A303" s="1348" t="s">
        <v>1391</v>
      </c>
      <c r="B303" s="9"/>
      <c r="C303" s="9"/>
      <c r="D303" s="9"/>
      <c r="E303" s="616"/>
      <c r="F303" s="616"/>
      <c r="G303" s="616"/>
      <c r="H303" s="616"/>
      <c r="I303" s="616"/>
      <c r="J303" s="616"/>
      <c r="K303" s="616"/>
      <c r="L303" s="616"/>
      <c r="M303" s="616"/>
      <c r="N303" s="616"/>
      <c r="O303" s="616"/>
      <c r="P303" s="616"/>
      <c r="Q303" s="616"/>
      <c r="R303" s="616"/>
      <c r="S303" s="616"/>
      <c r="T303" s="616"/>
      <c r="U303" s="616"/>
      <c r="V303" s="616"/>
      <c r="W303" s="616">
        <v>217000</v>
      </c>
      <c r="X303" s="616"/>
      <c r="Y303" s="616"/>
      <c r="Z303" s="616"/>
      <c r="AA303" s="616"/>
      <c r="AB303" s="1108"/>
      <c r="AD303" s="34"/>
      <c r="AE303" s="34"/>
      <c r="AF303" s="34"/>
      <c r="AG303" s="34"/>
      <c r="AN303" s="9"/>
      <c r="AO303" s="2"/>
      <c r="AP303" s="2"/>
      <c r="AQ303" s="2"/>
      <c r="AR303" s="2"/>
    </row>
    <row r="304" spans="1:44">
      <c r="A304" s="1348" t="s">
        <v>422</v>
      </c>
      <c r="B304" s="9"/>
      <c r="C304" s="9"/>
      <c r="D304" s="9"/>
      <c r="E304" s="616"/>
      <c r="F304" s="616"/>
      <c r="G304" s="616"/>
      <c r="H304" s="616"/>
      <c r="I304" s="616"/>
      <c r="J304" s="616"/>
      <c r="K304" s="616"/>
      <c r="L304" s="616"/>
      <c r="M304" s="616"/>
      <c r="N304" s="616"/>
      <c r="O304" s="616"/>
      <c r="P304" s="616"/>
      <c r="Q304" s="616"/>
      <c r="R304" s="616"/>
      <c r="S304" s="616"/>
      <c r="T304" s="616"/>
      <c r="U304" s="616"/>
      <c r="V304" s="616"/>
      <c r="W304" s="702">
        <v>-250000</v>
      </c>
      <c r="X304" s="616"/>
      <c r="Y304" s="616"/>
      <c r="Z304" s="616"/>
      <c r="AA304" s="616"/>
      <c r="AB304" s="1108"/>
      <c r="AD304" s="34"/>
      <c r="AE304" s="34"/>
      <c r="AF304" s="34"/>
      <c r="AG304" s="34"/>
      <c r="AN304" s="9"/>
      <c r="AO304" s="2"/>
      <c r="AP304" s="2"/>
      <c r="AQ304" s="2"/>
      <c r="AR304" s="2"/>
    </row>
    <row r="305" spans="1:44">
      <c r="A305" s="1348" t="s">
        <v>1392</v>
      </c>
      <c r="B305" s="9"/>
      <c r="C305" s="9"/>
      <c r="D305" s="9"/>
      <c r="E305" s="616"/>
      <c r="F305" s="616"/>
      <c r="G305" s="616"/>
      <c r="H305" s="616"/>
      <c r="I305" s="616"/>
      <c r="J305" s="616"/>
      <c r="K305" s="616"/>
      <c r="L305" s="616"/>
      <c r="M305" s="616"/>
      <c r="N305" s="616"/>
      <c r="O305" s="616"/>
      <c r="P305" s="616"/>
      <c r="Q305" s="616"/>
      <c r="R305" s="616"/>
      <c r="S305" s="616"/>
      <c r="T305" s="616"/>
      <c r="U305" s="616"/>
      <c r="V305" s="616"/>
      <c r="W305" s="616">
        <v>-33000</v>
      </c>
      <c r="X305" s="616"/>
      <c r="Y305" s="616"/>
      <c r="Z305" s="616"/>
      <c r="AA305" s="616"/>
      <c r="AB305" s="1108"/>
      <c r="AD305" s="34"/>
      <c r="AE305" s="34"/>
      <c r="AF305" s="34"/>
      <c r="AG305" s="34"/>
      <c r="AN305" s="9"/>
      <c r="AO305" s="2"/>
      <c r="AP305" s="2"/>
      <c r="AQ305" s="2"/>
      <c r="AR305" s="2"/>
    </row>
    <row r="306" spans="1:44">
      <c r="A306" s="1348"/>
      <c r="B306" s="10"/>
      <c r="C306" s="10"/>
      <c r="D306" s="10"/>
      <c r="E306" s="702"/>
      <c r="F306" s="702"/>
      <c r="G306" s="702"/>
      <c r="H306" s="702"/>
      <c r="I306" s="702"/>
      <c r="J306" s="702"/>
      <c r="K306" s="702"/>
      <c r="L306" s="702"/>
      <c r="M306" s="702"/>
      <c r="N306" s="702"/>
      <c r="O306" s="702"/>
      <c r="P306" s="702"/>
      <c r="Q306" s="702"/>
      <c r="R306" s="702"/>
      <c r="S306" s="702"/>
      <c r="T306" s="702"/>
      <c r="U306" s="702"/>
      <c r="V306" s="702"/>
      <c r="W306" s="702"/>
      <c r="X306" s="702"/>
      <c r="Y306" s="702"/>
      <c r="Z306" s="702"/>
      <c r="AA306" s="702"/>
      <c r="AB306" s="1108"/>
      <c r="AD306" s="34"/>
      <c r="AE306" s="34"/>
      <c r="AF306" s="34"/>
      <c r="AG306" s="34"/>
      <c r="AN306" s="9"/>
      <c r="AO306" s="2"/>
      <c r="AP306" s="2"/>
      <c r="AQ306" s="2"/>
      <c r="AR306" s="2"/>
    </row>
    <row r="307" spans="1:44" ht="18">
      <c r="A307" s="1494" t="s">
        <v>94</v>
      </c>
      <c r="B307" s="1501"/>
      <c r="C307" s="1501"/>
      <c r="D307" s="1501"/>
      <c r="E307" s="616"/>
      <c r="F307" s="616"/>
      <c r="G307" s="616"/>
      <c r="H307" s="616"/>
      <c r="I307" s="616"/>
      <c r="J307" s="616"/>
      <c r="K307" s="616"/>
      <c r="L307" s="616"/>
      <c r="M307" s="616"/>
      <c r="N307" s="616"/>
      <c r="O307" s="616"/>
      <c r="P307" s="616"/>
      <c r="Q307" s="616"/>
      <c r="R307" s="616"/>
      <c r="S307" s="616"/>
      <c r="T307" s="616"/>
      <c r="U307" s="616"/>
      <c r="V307" s="616"/>
      <c r="W307" s="616"/>
      <c r="X307" s="616"/>
      <c r="Y307" s="616"/>
      <c r="Z307" s="616"/>
      <c r="AA307" s="616"/>
      <c r="AB307" s="1467">
        <v>2.7</v>
      </c>
      <c r="AD307" s="34"/>
      <c r="AE307" s="34"/>
      <c r="AF307" s="34"/>
      <c r="AG307" s="34"/>
      <c r="AN307" s="9"/>
      <c r="AO307" s="2"/>
      <c r="AP307" s="2"/>
      <c r="AQ307" s="2"/>
      <c r="AR307" s="2"/>
    </row>
    <row r="308" spans="1:44">
      <c r="B308" s="34" t="s">
        <v>1434</v>
      </c>
      <c r="E308" s="616"/>
      <c r="F308" s="616"/>
      <c r="G308" s="616"/>
      <c r="H308" s="616"/>
      <c r="I308" s="616"/>
      <c r="J308" s="616"/>
      <c r="K308" s="616"/>
      <c r="L308" s="616"/>
      <c r="M308" s="616"/>
      <c r="N308" s="616"/>
      <c r="O308" s="616"/>
      <c r="P308" s="616"/>
      <c r="Q308" s="616"/>
      <c r="R308" s="616">
        <v>-7600</v>
      </c>
      <c r="S308" s="616">
        <v>-6000</v>
      </c>
      <c r="T308" s="616">
        <v>-6000</v>
      </c>
      <c r="U308" s="616">
        <v>-6000</v>
      </c>
      <c r="V308" s="616">
        <v>-6000</v>
      </c>
      <c r="W308" s="616">
        <v>-5000</v>
      </c>
      <c r="X308" s="616">
        <v>-6000</v>
      </c>
      <c r="Y308" s="1491" t="s">
        <v>1347</v>
      </c>
      <c r="Z308" s="1492"/>
      <c r="AA308" s="1492"/>
      <c r="AB308" s="1493"/>
      <c r="AC308" s="34"/>
      <c r="AD308" s="34"/>
      <c r="AE308" s="34"/>
      <c r="AF308" s="34"/>
      <c r="AG308" s="34"/>
      <c r="AH308" s="6"/>
      <c r="AI308" s="6"/>
      <c r="AJ308" s="6"/>
      <c r="AK308" s="6"/>
      <c r="AL308" s="6"/>
      <c r="AM308" s="6"/>
      <c r="AN308" s="50"/>
      <c r="AO308" s="2"/>
      <c r="AP308" s="2"/>
      <c r="AQ308" s="2"/>
      <c r="AR308" s="2"/>
    </row>
    <row r="309" spans="1:44">
      <c r="B309" s="34" t="s">
        <v>1225</v>
      </c>
      <c r="C309" s="616"/>
      <c r="D309" s="616"/>
      <c r="E309" s="616"/>
      <c r="F309" s="616"/>
      <c r="G309" s="616"/>
      <c r="H309" s="616"/>
      <c r="I309" s="616"/>
      <c r="J309" s="616"/>
      <c r="K309" s="616"/>
      <c r="L309" s="616"/>
      <c r="M309" s="616"/>
      <c r="N309" s="616"/>
      <c r="O309" s="616"/>
      <c r="P309" s="616"/>
      <c r="Q309" s="616"/>
      <c r="R309" s="616">
        <v>1355</v>
      </c>
      <c r="S309" s="616">
        <v>1456</v>
      </c>
      <c r="T309" s="616">
        <v>3000</v>
      </c>
      <c r="U309" s="1468" t="s">
        <v>335</v>
      </c>
      <c r="V309" s="1469" t="s">
        <v>335</v>
      </c>
      <c r="W309" s="1469" t="s">
        <v>335</v>
      </c>
      <c r="X309" s="1469" t="s">
        <v>335</v>
      </c>
      <c r="Y309" s="1469" t="s">
        <v>335</v>
      </c>
      <c r="Z309" s="1469" t="s">
        <v>335</v>
      </c>
      <c r="AA309" s="1469" t="s">
        <v>335</v>
      </c>
      <c r="AB309" s="1470" t="s">
        <v>335</v>
      </c>
      <c r="AC309" s="34"/>
      <c r="AD309" s="34"/>
      <c r="AE309" s="34"/>
      <c r="AF309" s="34"/>
      <c r="AG309" s="34"/>
      <c r="AH309" s="6"/>
      <c r="AI309" s="6"/>
      <c r="AJ309" s="6"/>
      <c r="AK309" s="6"/>
      <c r="AL309" s="6"/>
      <c r="AM309" s="6"/>
      <c r="AN309" s="50"/>
      <c r="AO309" s="2"/>
      <c r="AP309" s="2"/>
      <c r="AQ309" s="2"/>
      <c r="AR309" s="2"/>
    </row>
    <row r="310" spans="1:44">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34"/>
      <c r="AD310" s="34"/>
      <c r="AE310" s="34"/>
      <c r="AF310" s="34"/>
      <c r="AG310" s="34"/>
      <c r="AH310" s="6"/>
      <c r="AI310" s="6"/>
      <c r="AJ310" s="6"/>
      <c r="AK310" s="6"/>
      <c r="AL310" s="6"/>
      <c r="AM310" s="6"/>
      <c r="AN310" s="50"/>
      <c r="AO310" s="2"/>
      <c r="AP310" s="2"/>
      <c r="AQ310" s="2"/>
      <c r="AR310" s="2"/>
    </row>
    <row r="311" spans="1:44">
      <c r="AC311" s="34"/>
      <c r="AD311" s="34"/>
      <c r="AE311" s="34"/>
      <c r="AF311" s="34"/>
      <c r="AG311" s="34"/>
      <c r="AH311" s="6"/>
      <c r="AI311" s="6"/>
      <c r="AJ311" s="6"/>
      <c r="AK311" s="6"/>
      <c r="AL311" s="6"/>
      <c r="AM311" s="6"/>
      <c r="AN311" s="50"/>
      <c r="AO311" s="2"/>
      <c r="AP311" s="2"/>
      <c r="AQ311" s="2"/>
      <c r="AR311" s="2"/>
    </row>
    <row r="312" spans="1:44">
      <c r="AC312" s="34"/>
      <c r="AD312" s="34"/>
      <c r="AE312" s="34"/>
      <c r="AF312" s="34"/>
      <c r="AG312" s="34"/>
      <c r="AH312" s="6"/>
      <c r="AI312" s="6"/>
      <c r="AJ312" s="6"/>
      <c r="AK312" s="6"/>
      <c r="AL312" s="6"/>
      <c r="AM312" s="6"/>
      <c r="AN312" s="50"/>
      <c r="AO312" s="2"/>
      <c r="AP312" s="2"/>
      <c r="AQ312" s="2"/>
      <c r="AR312" s="2"/>
    </row>
    <row r="313" spans="1:44">
      <c r="AC313" s="34"/>
      <c r="AD313" s="34"/>
      <c r="AE313" s="34"/>
      <c r="AF313" s="34"/>
      <c r="AG313" s="34"/>
      <c r="AH313" s="6"/>
      <c r="AI313" s="6"/>
      <c r="AJ313" s="6"/>
      <c r="AK313" s="6"/>
      <c r="AL313" s="6"/>
      <c r="AM313" s="6"/>
      <c r="AN313" s="50"/>
      <c r="AO313" s="2"/>
      <c r="AP313" s="2"/>
      <c r="AQ313" s="2"/>
      <c r="AR313" s="2"/>
    </row>
    <row r="314" spans="1:44">
      <c r="AC314" s="34"/>
      <c r="AD314" s="34"/>
      <c r="AE314" s="34"/>
      <c r="AF314" s="34"/>
      <c r="AG314" s="34"/>
      <c r="AH314" s="6"/>
      <c r="AI314" s="6"/>
      <c r="AJ314" s="6"/>
      <c r="AK314" s="6"/>
      <c r="AL314" s="6"/>
      <c r="AM314" s="6"/>
      <c r="AN314" s="50"/>
      <c r="AO314" s="2"/>
      <c r="AP314" s="2"/>
      <c r="AQ314" s="2"/>
      <c r="AR314" s="2"/>
    </row>
    <row r="315" spans="1:44">
      <c r="AC315" s="34"/>
      <c r="AD315" s="34"/>
      <c r="AE315" s="34"/>
      <c r="AF315" s="34"/>
      <c r="AG315" s="34"/>
      <c r="AH315" s="6"/>
      <c r="AI315" s="6"/>
      <c r="AJ315" s="6"/>
      <c r="AK315" s="6"/>
      <c r="AL315" s="6"/>
      <c r="AM315" s="6"/>
      <c r="AN315" s="50"/>
      <c r="AO315" s="2"/>
      <c r="AP315" s="2"/>
      <c r="AQ315" s="2"/>
      <c r="AR315" s="2"/>
    </row>
    <row r="316" spans="1:44">
      <c r="AC316" s="34"/>
      <c r="AD316" s="34"/>
      <c r="AE316" s="34"/>
      <c r="AF316" s="34"/>
      <c r="AG316" s="34"/>
      <c r="AN316" s="9"/>
      <c r="AO316" s="2"/>
      <c r="AP316" s="2"/>
      <c r="AQ316" s="2"/>
      <c r="AR316" s="2"/>
    </row>
    <row r="317" spans="1:44">
      <c r="AC317" s="34"/>
      <c r="AD317" s="34"/>
      <c r="AE317" s="34"/>
      <c r="AF317" s="34"/>
      <c r="AG317" s="34"/>
      <c r="AN317" s="9"/>
      <c r="AO317" s="2"/>
      <c r="AP317" s="2"/>
      <c r="AQ317" s="2"/>
      <c r="AR317" s="2"/>
    </row>
    <row r="318" spans="1:44">
      <c r="AC318" s="34"/>
      <c r="AD318" s="34"/>
      <c r="AE318" s="34"/>
      <c r="AF318" s="34"/>
      <c r="AG318" s="34"/>
      <c r="AN318" s="9"/>
      <c r="AO318" s="2"/>
      <c r="AP318" s="2"/>
      <c r="AQ318" s="2"/>
      <c r="AR318" s="2"/>
    </row>
    <row r="319" spans="1:44">
      <c r="AC319" s="34"/>
      <c r="AD319" s="34"/>
      <c r="AE319" s="34"/>
      <c r="AF319" s="34"/>
      <c r="AG319" s="34"/>
      <c r="AN319" s="9"/>
      <c r="AO319" s="2"/>
      <c r="AP319" s="2"/>
      <c r="AQ319" s="2"/>
      <c r="AR319" s="2"/>
    </row>
    <row r="320" spans="1:44">
      <c r="AC320" s="34"/>
      <c r="AD320" s="34"/>
      <c r="AE320" s="34"/>
      <c r="AF320" s="34"/>
      <c r="AG320" s="34"/>
      <c r="AN320" s="9"/>
      <c r="AO320" s="2"/>
      <c r="AP320" s="2"/>
      <c r="AQ320" s="2"/>
      <c r="AR320" s="2"/>
    </row>
    <row r="321" spans="29:44">
      <c r="AC321" s="34"/>
      <c r="AD321" s="34"/>
      <c r="AE321" s="34"/>
      <c r="AF321" s="34"/>
      <c r="AG321" s="34"/>
      <c r="AN321" s="9"/>
      <c r="AO321" s="2"/>
      <c r="AP321" s="2"/>
      <c r="AQ321" s="2"/>
      <c r="AR321" s="2"/>
    </row>
    <row r="322" spans="29:44">
      <c r="AC322" s="34"/>
      <c r="AD322" s="34"/>
      <c r="AE322" s="34"/>
      <c r="AF322" s="34"/>
      <c r="AG322" s="34"/>
      <c r="AN322" s="9"/>
      <c r="AO322" s="2"/>
      <c r="AP322" s="2"/>
      <c r="AQ322" s="2"/>
      <c r="AR322" s="2"/>
    </row>
    <row r="323" spans="29:44">
      <c r="AC323" s="34"/>
      <c r="AD323" s="34"/>
      <c r="AE323" s="34"/>
      <c r="AF323" s="34"/>
      <c r="AG323" s="34"/>
      <c r="AN323" s="9"/>
      <c r="AO323" s="2"/>
      <c r="AP323" s="2"/>
      <c r="AQ323" s="2"/>
      <c r="AR323" s="2"/>
    </row>
    <row r="324" spans="29:44">
      <c r="AC324" s="34"/>
      <c r="AD324" s="34"/>
      <c r="AE324" s="34"/>
      <c r="AF324" s="34"/>
      <c r="AG324" s="34"/>
      <c r="AN324" s="9"/>
      <c r="AO324" s="2"/>
      <c r="AP324" s="2"/>
      <c r="AQ324" s="2"/>
      <c r="AR324" s="2"/>
    </row>
    <row r="325" spans="29:44">
      <c r="AC325" s="34"/>
      <c r="AD325" s="34"/>
      <c r="AE325" s="34"/>
      <c r="AF325" s="34"/>
      <c r="AG325" s="34"/>
      <c r="AN325" s="9"/>
      <c r="AO325" s="2"/>
      <c r="AP325" s="2"/>
      <c r="AQ325" s="2"/>
      <c r="AR325" s="2"/>
    </row>
    <row r="326" spans="29:44">
      <c r="AC326" s="34"/>
      <c r="AD326" s="34"/>
      <c r="AE326" s="34"/>
      <c r="AF326" s="34"/>
      <c r="AG326" s="34"/>
      <c r="AN326" s="9"/>
      <c r="AO326" s="2"/>
      <c r="AP326" s="2"/>
      <c r="AQ326" s="2"/>
      <c r="AR326" s="2"/>
    </row>
    <row r="327" spans="29:44">
      <c r="AC327" s="34"/>
      <c r="AD327" s="34"/>
      <c r="AE327" s="34"/>
      <c r="AF327" s="34"/>
      <c r="AG327" s="34"/>
      <c r="AN327" s="9"/>
      <c r="AO327" s="2"/>
      <c r="AP327" s="2"/>
      <c r="AQ327" s="2"/>
      <c r="AR327" s="2"/>
    </row>
    <row r="328" spans="29:44">
      <c r="AC328" s="34"/>
      <c r="AD328" s="34"/>
      <c r="AE328" s="34"/>
      <c r="AF328" s="34"/>
      <c r="AG328" s="34"/>
      <c r="AN328" s="9"/>
      <c r="AO328" s="2"/>
      <c r="AP328" s="2"/>
      <c r="AQ328" s="2"/>
      <c r="AR328" s="2"/>
    </row>
    <row r="329" spans="29:44">
      <c r="AC329" s="34"/>
      <c r="AD329" s="34"/>
      <c r="AE329" s="34"/>
      <c r="AF329" s="34"/>
      <c r="AG329" s="34"/>
      <c r="AN329" s="9"/>
      <c r="AO329" s="2"/>
      <c r="AP329" s="2"/>
      <c r="AQ329" s="2"/>
      <c r="AR329" s="2"/>
    </row>
    <row r="330" spans="29:44">
      <c r="AC330" s="34"/>
      <c r="AD330" s="34"/>
      <c r="AE330" s="34"/>
      <c r="AF330" s="34"/>
      <c r="AG330" s="34"/>
      <c r="AN330" s="9"/>
      <c r="AO330" s="2"/>
      <c r="AP330" s="2"/>
      <c r="AQ330" s="2"/>
      <c r="AR330" s="2"/>
    </row>
    <row r="331" spans="29:44">
      <c r="AC331" s="34"/>
      <c r="AD331" s="34"/>
      <c r="AE331" s="34"/>
      <c r="AF331" s="34"/>
      <c r="AG331" s="34"/>
      <c r="AN331" s="9"/>
      <c r="AO331" s="2"/>
      <c r="AP331" s="2"/>
      <c r="AQ331" s="2"/>
      <c r="AR331" s="2"/>
    </row>
    <row r="332" spans="29:44">
      <c r="AC332" s="34"/>
      <c r="AD332" s="34"/>
      <c r="AE332" s="34"/>
      <c r="AF332" s="34"/>
      <c r="AG332" s="34"/>
      <c r="AN332" s="9"/>
      <c r="AO332" s="2"/>
      <c r="AP332" s="2"/>
      <c r="AQ332" s="2"/>
      <c r="AR332" s="2"/>
    </row>
    <row r="333" spans="29:44">
      <c r="AC333" s="34"/>
      <c r="AD333" s="34"/>
      <c r="AE333" s="34"/>
      <c r="AF333" s="34"/>
      <c r="AG333" s="34"/>
      <c r="AN333" s="9"/>
      <c r="AO333" s="2"/>
      <c r="AP333" s="2"/>
      <c r="AQ333" s="2"/>
      <c r="AR333" s="2"/>
    </row>
    <row r="334" spans="29:44">
      <c r="AC334" s="34"/>
      <c r="AD334" s="34"/>
      <c r="AE334" s="34"/>
      <c r="AF334" s="34"/>
      <c r="AG334" s="34"/>
      <c r="AN334" s="9"/>
      <c r="AO334" s="2"/>
      <c r="AP334" s="2"/>
      <c r="AQ334" s="2"/>
      <c r="AR334" s="2"/>
    </row>
    <row r="335" spans="29:44">
      <c r="AC335" s="34"/>
      <c r="AD335" s="34"/>
      <c r="AE335" s="34"/>
      <c r="AF335" s="34"/>
      <c r="AG335" s="34"/>
      <c r="AN335" s="9"/>
      <c r="AO335" s="2"/>
      <c r="AP335" s="2"/>
      <c r="AQ335" s="2"/>
      <c r="AR335" s="2"/>
    </row>
    <row r="336" spans="29:44">
      <c r="AC336" s="34"/>
      <c r="AD336" s="34"/>
      <c r="AE336" s="34"/>
      <c r="AF336" s="34"/>
      <c r="AG336" s="34"/>
      <c r="AN336" s="9"/>
      <c r="AO336" s="2"/>
      <c r="AP336" s="2"/>
      <c r="AQ336" s="2"/>
      <c r="AR336" s="2"/>
    </row>
    <row r="337" spans="29:44">
      <c r="AC337" s="34"/>
      <c r="AD337" s="34"/>
      <c r="AE337" s="34"/>
      <c r="AF337" s="34"/>
      <c r="AG337" s="34"/>
      <c r="AN337" s="9"/>
      <c r="AO337" s="2"/>
      <c r="AP337" s="2"/>
      <c r="AQ337" s="2"/>
      <c r="AR337" s="2"/>
    </row>
    <row r="338" spans="29:44">
      <c r="AC338" s="34"/>
      <c r="AD338" s="34"/>
      <c r="AE338" s="34"/>
      <c r="AF338" s="34"/>
      <c r="AG338" s="34"/>
      <c r="AN338" s="9"/>
      <c r="AO338" s="2"/>
      <c r="AP338" s="2"/>
      <c r="AQ338" s="2"/>
      <c r="AR338" s="2"/>
    </row>
    <row r="339" spans="29:44">
      <c r="AC339" s="34"/>
      <c r="AD339" s="34"/>
      <c r="AE339" s="34"/>
      <c r="AF339" s="34"/>
      <c r="AG339" s="34"/>
      <c r="AN339" s="9"/>
      <c r="AO339" s="2"/>
      <c r="AP339" s="2"/>
      <c r="AQ339" s="2"/>
      <c r="AR339" s="2"/>
    </row>
    <row r="340" spans="29:44">
      <c r="AC340" s="34"/>
      <c r="AD340" s="34"/>
      <c r="AE340" s="34"/>
      <c r="AF340" s="34"/>
      <c r="AG340" s="34"/>
      <c r="AN340" s="9"/>
      <c r="AO340" s="2"/>
      <c r="AP340" s="2"/>
      <c r="AQ340" s="2"/>
      <c r="AR340" s="2"/>
    </row>
    <row r="341" spans="29:44">
      <c r="AC341" s="34"/>
      <c r="AD341" s="34"/>
      <c r="AE341" s="34"/>
      <c r="AF341" s="34"/>
      <c r="AG341" s="34"/>
      <c r="AN341" s="9"/>
      <c r="AO341" s="2"/>
      <c r="AP341" s="2"/>
      <c r="AQ341" s="2"/>
      <c r="AR341" s="2"/>
    </row>
    <row r="342" spans="29:44">
      <c r="AC342" s="34"/>
      <c r="AD342" s="34"/>
      <c r="AE342" s="34"/>
      <c r="AF342" s="34"/>
      <c r="AG342" s="34"/>
      <c r="AN342" s="9"/>
      <c r="AO342" s="2"/>
      <c r="AP342" s="2"/>
      <c r="AQ342" s="2"/>
      <c r="AR342" s="2"/>
    </row>
    <row r="343" spans="29:44">
      <c r="AC343" s="34"/>
      <c r="AD343" s="34"/>
      <c r="AE343" s="34"/>
      <c r="AF343" s="34"/>
      <c r="AG343" s="34"/>
      <c r="AN343" s="9"/>
      <c r="AO343" s="2"/>
      <c r="AP343" s="2"/>
      <c r="AQ343" s="2"/>
      <c r="AR343" s="2"/>
    </row>
    <row r="344" spans="29:44">
      <c r="AC344" s="34"/>
      <c r="AD344" s="34"/>
      <c r="AE344" s="34"/>
      <c r="AF344" s="34"/>
      <c r="AG344" s="34"/>
      <c r="AN344" s="9"/>
      <c r="AO344" s="2"/>
      <c r="AP344" s="2"/>
      <c r="AQ344" s="2"/>
      <c r="AR344" s="2"/>
    </row>
    <row r="345" spans="29:44">
      <c r="AC345" s="34"/>
      <c r="AD345" s="34"/>
      <c r="AE345" s="34"/>
      <c r="AF345" s="34"/>
      <c r="AG345" s="34"/>
      <c r="AN345" s="9"/>
      <c r="AO345" s="2"/>
      <c r="AP345" s="2"/>
      <c r="AQ345" s="2"/>
      <c r="AR345" s="2"/>
    </row>
    <row r="346" spans="29:44">
      <c r="AC346" s="34"/>
      <c r="AD346" s="34"/>
      <c r="AE346" s="34"/>
      <c r="AF346" s="34"/>
      <c r="AG346" s="34"/>
      <c r="AN346" s="9"/>
      <c r="AO346" s="2"/>
      <c r="AP346" s="2"/>
      <c r="AQ346" s="2"/>
      <c r="AR346" s="2"/>
    </row>
    <row r="347" spans="29:44">
      <c r="AC347" s="34"/>
      <c r="AD347" s="34"/>
      <c r="AE347" s="34"/>
      <c r="AF347" s="34"/>
      <c r="AG347" s="34"/>
      <c r="AN347" s="9"/>
      <c r="AO347" s="2"/>
      <c r="AP347" s="2"/>
      <c r="AQ347" s="2"/>
      <c r="AR347" s="2"/>
    </row>
    <row r="348" spans="29:44">
      <c r="AC348" s="34"/>
      <c r="AD348" s="34"/>
      <c r="AE348" s="34"/>
      <c r="AF348" s="34"/>
      <c r="AG348" s="34"/>
      <c r="AN348" s="9"/>
      <c r="AO348" s="2"/>
      <c r="AP348" s="2"/>
      <c r="AQ348" s="2"/>
      <c r="AR348" s="2"/>
    </row>
    <row r="349" spans="29:44">
      <c r="AC349" s="34"/>
      <c r="AD349" s="34"/>
      <c r="AE349" s="34"/>
      <c r="AF349" s="34"/>
      <c r="AG349" s="34"/>
      <c r="AN349" s="9"/>
      <c r="AO349" s="2"/>
      <c r="AP349" s="2"/>
      <c r="AQ349" s="2"/>
      <c r="AR349" s="2"/>
    </row>
    <row r="350" spans="29:44">
      <c r="AC350" s="34"/>
      <c r="AD350" s="34"/>
      <c r="AE350" s="34"/>
      <c r="AF350" s="34"/>
      <c r="AG350" s="34"/>
      <c r="AN350" s="9"/>
      <c r="AO350" s="2"/>
      <c r="AP350" s="2"/>
      <c r="AQ350" s="2"/>
      <c r="AR350" s="2"/>
    </row>
    <row r="351" spans="29:44">
      <c r="AC351" s="34"/>
      <c r="AD351" s="34"/>
      <c r="AE351" s="34"/>
      <c r="AF351" s="34"/>
      <c r="AG351" s="34"/>
      <c r="AN351" s="9"/>
      <c r="AO351" s="2"/>
      <c r="AP351" s="2"/>
      <c r="AQ351" s="2"/>
      <c r="AR351" s="2"/>
    </row>
    <row r="352" spans="29:44">
      <c r="AC352" s="34"/>
      <c r="AD352" s="34"/>
      <c r="AE352" s="34"/>
      <c r="AF352" s="34"/>
      <c r="AG352" s="34"/>
      <c r="AN352" s="9"/>
      <c r="AO352" s="2"/>
      <c r="AP352" s="2"/>
      <c r="AQ352" s="2"/>
      <c r="AR352" s="2"/>
    </row>
    <row r="353" spans="29:44">
      <c r="AC353" s="34"/>
      <c r="AD353" s="34"/>
      <c r="AE353" s="34"/>
      <c r="AF353" s="34"/>
      <c r="AG353" s="34"/>
      <c r="AN353" s="9"/>
      <c r="AO353" s="2"/>
      <c r="AP353" s="2"/>
      <c r="AQ353" s="2"/>
      <c r="AR353" s="2"/>
    </row>
    <row r="354" spans="29:44">
      <c r="AC354" s="34"/>
      <c r="AD354" s="34"/>
      <c r="AE354" s="34"/>
      <c r="AF354" s="34"/>
      <c r="AG354" s="34"/>
      <c r="AN354" s="9"/>
      <c r="AO354" s="2"/>
      <c r="AP354" s="2"/>
      <c r="AQ354" s="2"/>
      <c r="AR354" s="2"/>
    </row>
    <row r="355" spans="29:44">
      <c r="AC355" s="34"/>
      <c r="AD355" s="34"/>
      <c r="AE355" s="34"/>
      <c r="AF355" s="34"/>
      <c r="AG355" s="34"/>
      <c r="AN355" s="9"/>
      <c r="AO355" s="2"/>
      <c r="AP355" s="2"/>
      <c r="AQ355" s="2"/>
      <c r="AR355" s="2"/>
    </row>
    <row r="356" spans="29:44">
      <c r="AC356" s="34"/>
      <c r="AD356" s="34"/>
      <c r="AE356" s="34"/>
      <c r="AF356" s="34"/>
      <c r="AG356" s="34"/>
      <c r="AN356" s="9"/>
      <c r="AO356" s="2"/>
      <c r="AP356" s="2"/>
      <c r="AQ356" s="2"/>
      <c r="AR356" s="2"/>
    </row>
    <row r="357" spans="29:44">
      <c r="AC357" s="34"/>
      <c r="AD357" s="34"/>
      <c r="AE357" s="34"/>
      <c r="AF357" s="34"/>
      <c r="AG357" s="34"/>
      <c r="AN357" s="9"/>
      <c r="AO357" s="2"/>
      <c r="AP357" s="2"/>
      <c r="AQ357" s="2"/>
      <c r="AR357" s="2"/>
    </row>
    <row r="358" spans="29:44">
      <c r="AC358" s="34"/>
      <c r="AD358" s="34"/>
      <c r="AE358" s="34"/>
      <c r="AF358" s="34"/>
      <c r="AG358" s="34"/>
      <c r="AN358" s="9"/>
      <c r="AO358" s="2"/>
      <c r="AP358" s="2"/>
      <c r="AQ358" s="2"/>
      <c r="AR358" s="2"/>
    </row>
    <row r="359" spans="29:44">
      <c r="AC359" s="34"/>
      <c r="AD359" s="34"/>
      <c r="AE359" s="34"/>
      <c r="AF359" s="34"/>
      <c r="AG359" s="34"/>
      <c r="AN359" s="9"/>
      <c r="AO359" s="2"/>
      <c r="AP359" s="2"/>
      <c r="AQ359" s="2"/>
      <c r="AR359" s="2"/>
    </row>
    <row r="360" spans="29:44">
      <c r="AC360" s="34"/>
      <c r="AD360" s="34"/>
      <c r="AE360" s="34"/>
      <c r="AF360" s="34"/>
      <c r="AG360" s="34"/>
      <c r="AN360" s="9"/>
      <c r="AO360" s="2"/>
      <c r="AP360" s="2"/>
      <c r="AQ360" s="2"/>
      <c r="AR360" s="2"/>
    </row>
    <row r="361" spans="29:44">
      <c r="AC361" s="34"/>
      <c r="AD361" s="34"/>
      <c r="AE361" s="34"/>
      <c r="AF361" s="34"/>
      <c r="AG361" s="34"/>
      <c r="AN361" s="9"/>
      <c r="AO361" s="2"/>
      <c r="AP361" s="2"/>
      <c r="AQ361" s="2"/>
      <c r="AR361" s="2"/>
    </row>
    <row r="362" spans="29:44">
      <c r="AC362" s="34"/>
      <c r="AD362" s="34"/>
      <c r="AE362" s="34"/>
      <c r="AF362" s="34"/>
      <c r="AG362" s="34"/>
      <c r="AN362" s="9"/>
      <c r="AO362" s="2"/>
      <c r="AP362" s="2"/>
      <c r="AQ362" s="2"/>
      <c r="AR362" s="2"/>
    </row>
    <row r="363" spans="29:44">
      <c r="AC363" s="34"/>
      <c r="AD363" s="34"/>
      <c r="AE363" s="34"/>
      <c r="AF363" s="34"/>
      <c r="AG363" s="34"/>
      <c r="AN363" s="9"/>
      <c r="AO363" s="2"/>
      <c r="AP363" s="2"/>
      <c r="AQ363" s="2"/>
      <c r="AR363" s="2"/>
    </row>
    <row r="364" spans="29:44">
      <c r="AC364" s="34"/>
      <c r="AD364" s="34"/>
      <c r="AE364" s="34"/>
      <c r="AF364" s="34"/>
      <c r="AG364" s="34"/>
      <c r="AN364" s="9"/>
      <c r="AO364" s="2"/>
      <c r="AP364" s="2"/>
      <c r="AQ364" s="2"/>
      <c r="AR364" s="2"/>
    </row>
    <row r="365" spans="29:44">
      <c r="AC365" s="34"/>
      <c r="AD365" s="34"/>
      <c r="AE365" s="34"/>
      <c r="AF365" s="34"/>
      <c r="AG365" s="34"/>
      <c r="AN365" s="9"/>
      <c r="AO365" s="2"/>
      <c r="AP365" s="2"/>
      <c r="AQ365" s="2"/>
      <c r="AR365" s="2"/>
    </row>
    <row r="366" spans="29:44">
      <c r="AC366" s="34"/>
      <c r="AD366" s="34"/>
      <c r="AE366" s="34"/>
      <c r="AF366" s="34"/>
      <c r="AG366" s="34"/>
      <c r="AN366" s="9"/>
      <c r="AO366" s="2"/>
      <c r="AP366" s="2"/>
      <c r="AQ366" s="2"/>
      <c r="AR366" s="2"/>
    </row>
    <row r="367" spans="29:44">
      <c r="AC367" s="34"/>
      <c r="AD367" s="34"/>
      <c r="AE367" s="34"/>
      <c r="AF367" s="34"/>
      <c r="AG367" s="34"/>
      <c r="AN367" s="9"/>
      <c r="AO367" s="2"/>
      <c r="AP367" s="2"/>
      <c r="AQ367" s="2"/>
      <c r="AR367" s="2"/>
    </row>
    <row r="368" spans="29:44">
      <c r="AC368" s="34"/>
      <c r="AD368" s="34"/>
      <c r="AE368" s="34"/>
      <c r="AF368" s="34"/>
      <c r="AG368" s="34"/>
      <c r="AN368" s="9"/>
      <c r="AO368" s="2"/>
      <c r="AP368" s="2"/>
      <c r="AQ368" s="2"/>
      <c r="AR368" s="2"/>
    </row>
    <row r="369" spans="1:44">
      <c r="AC369" s="34"/>
      <c r="AD369" s="34"/>
      <c r="AE369" s="34"/>
      <c r="AF369" s="34"/>
      <c r="AG369" s="34"/>
      <c r="AN369" s="9"/>
      <c r="AO369" s="2"/>
      <c r="AP369" s="2"/>
      <c r="AQ369" s="2"/>
      <c r="AR369" s="2"/>
    </row>
    <row r="370" spans="1:44">
      <c r="AC370" s="34"/>
      <c r="AD370" s="34"/>
      <c r="AE370" s="34"/>
      <c r="AF370" s="34"/>
      <c r="AG370" s="34"/>
      <c r="AN370" s="9"/>
      <c r="AO370" s="2"/>
      <c r="AP370" s="2"/>
      <c r="AQ370" s="2"/>
      <c r="AR370" s="2"/>
    </row>
    <row r="371" spans="1:44">
      <c r="AC371" s="34"/>
      <c r="AD371" s="34"/>
      <c r="AE371" s="34"/>
      <c r="AF371" s="34"/>
      <c r="AG371" s="34"/>
      <c r="AN371" s="9"/>
      <c r="AO371" s="2"/>
      <c r="AP371" s="2"/>
      <c r="AQ371" s="2"/>
      <c r="AR371" s="2"/>
    </row>
    <row r="372" spans="1:44">
      <c r="AC372" s="34"/>
      <c r="AD372" s="34"/>
      <c r="AE372" s="34"/>
      <c r="AF372" s="34"/>
      <c r="AG372" s="34"/>
      <c r="AN372" s="9"/>
      <c r="AO372" s="2"/>
      <c r="AP372" s="2"/>
      <c r="AQ372" s="2"/>
      <c r="AR372" s="2"/>
    </row>
    <row r="373" spans="1:44">
      <c r="AC373" s="34"/>
      <c r="AD373" s="34"/>
      <c r="AE373" s="34"/>
      <c r="AF373" s="34"/>
      <c r="AG373" s="34"/>
      <c r="AN373" s="9"/>
      <c r="AO373" s="2"/>
      <c r="AP373" s="2"/>
      <c r="AQ373" s="2"/>
      <c r="AR373" s="2"/>
    </row>
    <row r="374" spans="1:44">
      <c r="AC374" s="34"/>
      <c r="AD374" s="34"/>
      <c r="AE374" s="34"/>
      <c r="AF374" s="34"/>
      <c r="AG374" s="34"/>
      <c r="AN374" s="2"/>
      <c r="AO374" s="2"/>
      <c r="AP374" s="2"/>
      <c r="AQ374" s="2"/>
      <c r="AR374" s="2"/>
    </row>
    <row r="375" spans="1:44">
      <c r="AC375" s="34"/>
      <c r="AD375" s="34"/>
      <c r="AE375" s="34"/>
      <c r="AF375" s="34"/>
      <c r="AG375" s="34"/>
      <c r="AN375" s="2"/>
      <c r="AO375" s="2"/>
      <c r="AP375" s="2"/>
      <c r="AQ375" s="2"/>
      <c r="AR375" s="2"/>
    </row>
    <row r="376" spans="1:44">
      <c r="AC376" s="34"/>
      <c r="AD376" s="34"/>
      <c r="AE376" s="34"/>
      <c r="AF376" s="34"/>
      <c r="AG376" s="34"/>
      <c r="AN376" s="2"/>
      <c r="AO376" s="2"/>
      <c r="AP376" s="2"/>
      <c r="AQ376" s="2"/>
      <c r="AR376" s="2"/>
    </row>
    <row r="377" spans="1:44">
      <c r="AC377" s="34"/>
      <c r="AD377" s="34"/>
      <c r="AE377" s="34"/>
      <c r="AF377" s="34"/>
      <c r="AG377" s="34"/>
      <c r="AN377" s="2"/>
      <c r="AO377" s="2"/>
      <c r="AP377" s="2"/>
      <c r="AQ377" s="2"/>
      <c r="AR377" s="2"/>
    </row>
    <row r="378" spans="1:44">
      <c r="AC378" s="34"/>
      <c r="AD378" s="34"/>
      <c r="AE378" s="34"/>
      <c r="AF378" s="34"/>
      <c r="AG378" s="34"/>
      <c r="AN378" s="2"/>
      <c r="AO378" s="2"/>
      <c r="AP378" s="2"/>
      <c r="AQ378" s="2"/>
      <c r="AR378" s="2"/>
    </row>
    <row r="379" spans="1:44">
      <c r="AC379" s="34"/>
      <c r="AD379" s="34"/>
      <c r="AE379" s="34"/>
      <c r="AF379" s="34"/>
      <c r="AG379" s="34"/>
      <c r="AN379" s="2"/>
      <c r="AO379" s="2"/>
      <c r="AP379" s="2"/>
      <c r="AQ379" s="2"/>
      <c r="AR379" s="2"/>
    </row>
    <row r="380" spans="1:44">
      <c r="AC380" s="34"/>
      <c r="AD380" s="34"/>
      <c r="AE380" s="34"/>
      <c r="AF380" s="34"/>
      <c r="AG380" s="34"/>
      <c r="AN380" s="2"/>
      <c r="AO380" s="2"/>
      <c r="AP380" s="2"/>
      <c r="AQ380" s="2"/>
      <c r="AR380" s="2"/>
    </row>
    <row r="381" spans="1:44">
      <c r="AC381" s="34"/>
      <c r="AD381" s="34"/>
      <c r="AE381" s="34"/>
      <c r="AF381" s="34"/>
      <c r="AG381" s="34"/>
      <c r="AN381" s="2"/>
      <c r="AO381" s="2"/>
      <c r="AP381" s="2"/>
      <c r="AQ381" s="2"/>
      <c r="AR381" s="2"/>
    </row>
    <row r="382" spans="1:44">
      <c r="AC382" s="34"/>
      <c r="AD382" s="34"/>
      <c r="AE382" s="34"/>
      <c r="AF382" s="34"/>
      <c r="AG382" s="34"/>
      <c r="AN382" s="2"/>
      <c r="AO382" s="2"/>
      <c r="AP382" s="2"/>
      <c r="AQ382" s="2"/>
      <c r="AR382" s="2"/>
    </row>
    <row r="383" spans="1:44">
      <c r="A383" s="616"/>
      <c r="B383" s="616"/>
      <c r="C383" s="616"/>
      <c r="D383" s="616"/>
      <c r="E383" s="616"/>
      <c r="F383" s="616"/>
      <c r="G383" s="616"/>
      <c r="H383" s="616"/>
      <c r="I383" s="616"/>
      <c r="J383" s="616"/>
      <c r="K383" s="616"/>
      <c r="L383" s="616"/>
      <c r="M383" s="616"/>
      <c r="N383" s="616"/>
      <c r="O383" s="616"/>
      <c r="P383" s="616"/>
      <c r="Q383" s="616"/>
      <c r="R383" s="616"/>
      <c r="S383" s="616"/>
      <c r="T383" s="616"/>
      <c r="U383" s="616"/>
      <c r="V383" s="616"/>
      <c r="AC383" s="34"/>
      <c r="AD383" s="34"/>
      <c r="AE383" s="34"/>
      <c r="AF383" s="34"/>
      <c r="AG383" s="34"/>
      <c r="AN383" s="2"/>
      <c r="AO383" s="2"/>
      <c r="AP383" s="2"/>
      <c r="AQ383" s="2"/>
      <c r="AR383" s="2"/>
    </row>
    <row r="384" spans="1:44">
      <c r="A384" s="616"/>
      <c r="B384" s="616"/>
      <c r="C384" s="616"/>
      <c r="D384" s="616"/>
      <c r="E384" s="616"/>
      <c r="F384" s="616"/>
      <c r="G384" s="616"/>
      <c r="H384" s="616"/>
      <c r="I384" s="616"/>
      <c r="J384" s="616"/>
      <c r="K384" s="616"/>
      <c r="L384" s="616"/>
      <c r="M384" s="616"/>
      <c r="N384" s="616"/>
      <c r="O384" s="616"/>
      <c r="P384" s="616"/>
      <c r="Q384" s="616"/>
      <c r="R384" s="616"/>
      <c r="S384" s="616"/>
      <c r="T384" s="616"/>
      <c r="U384" s="616"/>
      <c r="V384" s="616"/>
      <c r="AC384" s="34"/>
      <c r="AD384" s="34"/>
      <c r="AE384" s="34"/>
      <c r="AF384" s="34"/>
      <c r="AG384" s="34"/>
      <c r="AN384" s="2"/>
      <c r="AO384" s="2"/>
      <c r="AP384" s="2"/>
      <c r="AQ384" s="2"/>
      <c r="AR384" s="2"/>
    </row>
    <row r="385" spans="1:44">
      <c r="A385" s="702"/>
      <c r="B385" s="702"/>
      <c r="C385" s="702"/>
      <c r="D385" s="702"/>
      <c r="E385" s="702"/>
      <c r="F385" s="702"/>
      <c r="G385" s="702"/>
      <c r="H385" s="702"/>
      <c r="I385" s="702"/>
      <c r="J385" s="702"/>
      <c r="K385" s="702"/>
      <c r="L385" s="702"/>
      <c r="M385" s="702"/>
      <c r="N385" s="702"/>
      <c r="O385" s="702"/>
      <c r="P385" s="702"/>
      <c r="Q385" s="702"/>
      <c r="R385" s="702"/>
      <c r="S385" s="702"/>
      <c r="T385" s="702"/>
      <c r="U385" s="702"/>
      <c r="V385" s="702"/>
      <c r="W385" s="4"/>
      <c r="X385" s="4"/>
      <c r="Y385" s="4"/>
      <c r="Z385" s="4"/>
      <c r="AA385" s="4"/>
      <c r="AC385" s="34"/>
      <c r="AD385" s="34"/>
      <c r="AE385" s="34"/>
      <c r="AF385" s="34"/>
      <c r="AG385" s="34"/>
      <c r="AN385" s="2"/>
      <c r="AO385" s="2"/>
      <c r="AP385" s="2"/>
      <c r="AQ385" s="2"/>
      <c r="AR385" s="2"/>
    </row>
    <row r="386" spans="1:44">
      <c r="A386" s="616"/>
      <c r="B386" s="616"/>
      <c r="C386" s="616"/>
      <c r="D386" s="616"/>
      <c r="E386" s="616"/>
      <c r="F386" s="616"/>
      <c r="G386" s="616"/>
      <c r="H386" s="616"/>
      <c r="I386" s="616"/>
      <c r="J386" s="616"/>
      <c r="K386" s="616"/>
      <c r="L386" s="616"/>
      <c r="M386" s="616"/>
      <c r="N386" s="616"/>
      <c r="O386" s="616"/>
      <c r="P386" s="616"/>
      <c r="Q386" s="616"/>
      <c r="R386" s="616"/>
      <c r="S386" s="616"/>
      <c r="T386" s="616"/>
      <c r="U386" s="616"/>
      <c r="V386" s="616"/>
      <c r="AC386" s="34"/>
      <c r="AD386" s="34"/>
      <c r="AE386" s="34"/>
      <c r="AF386" s="34"/>
      <c r="AG386" s="34"/>
      <c r="AN386" s="2"/>
      <c r="AO386" s="2"/>
      <c r="AP386" s="2"/>
      <c r="AQ386" s="2"/>
      <c r="AR386" s="2"/>
    </row>
    <row r="387" spans="1:44">
      <c r="A387" s="616"/>
      <c r="B387" s="616"/>
      <c r="C387" s="616"/>
      <c r="D387" s="616"/>
      <c r="E387" s="616"/>
      <c r="F387" s="616"/>
      <c r="G387" s="616"/>
      <c r="H387" s="616"/>
      <c r="I387" s="616"/>
      <c r="J387" s="616"/>
      <c r="K387" s="616"/>
      <c r="L387" s="616"/>
      <c r="M387" s="616"/>
      <c r="N387" s="616"/>
      <c r="O387" s="616"/>
      <c r="P387" s="616"/>
      <c r="Q387" s="616"/>
      <c r="R387" s="616"/>
      <c r="S387" s="616"/>
      <c r="T387" s="616"/>
      <c r="U387" s="616"/>
      <c r="V387" s="616"/>
      <c r="AC387" s="34"/>
      <c r="AD387" s="34"/>
      <c r="AE387" s="34"/>
      <c r="AF387" s="34"/>
      <c r="AG387" s="34"/>
      <c r="AN387" s="2"/>
      <c r="AO387" s="2"/>
      <c r="AP387" s="2"/>
      <c r="AQ387" s="2"/>
      <c r="AR387" s="2"/>
    </row>
    <row r="388" spans="1:44">
      <c r="A388" s="616"/>
      <c r="B388" s="616"/>
      <c r="C388" s="616"/>
      <c r="D388" s="616"/>
      <c r="E388" s="616"/>
      <c r="F388" s="616"/>
      <c r="G388" s="616"/>
      <c r="H388" s="616"/>
      <c r="I388" s="616"/>
      <c r="J388" s="616"/>
      <c r="K388" s="616"/>
      <c r="L388" s="616"/>
      <c r="M388" s="616"/>
      <c r="N388" s="616"/>
      <c r="O388" s="616"/>
      <c r="P388" s="616"/>
      <c r="Q388" s="616"/>
      <c r="R388" s="616"/>
      <c r="S388" s="616"/>
      <c r="T388" s="616"/>
      <c r="U388" s="616"/>
      <c r="V388" s="616"/>
      <c r="AC388" s="34"/>
      <c r="AD388" s="34"/>
      <c r="AE388" s="34"/>
      <c r="AF388" s="34"/>
      <c r="AG388" s="34"/>
      <c r="AN388" s="2"/>
      <c r="AO388" s="2"/>
      <c r="AP388" s="2"/>
      <c r="AQ388" s="2"/>
      <c r="AR388" s="2"/>
    </row>
    <row r="389" spans="1:44">
      <c r="AC389" s="34"/>
      <c r="AD389" s="34"/>
      <c r="AE389" s="34"/>
      <c r="AF389" s="34"/>
      <c r="AG389" s="34"/>
      <c r="AN389" s="2"/>
      <c r="AO389" s="2"/>
      <c r="AP389" s="2"/>
      <c r="AQ389" s="2"/>
      <c r="AR389" s="2"/>
    </row>
    <row r="390" spans="1:44">
      <c r="AC390" s="34"/>
      <c r="AD390" s="34"/>
      <c r="AE390" s="34"/>
      <c r="AF390" s="34"/>
      <c r="AG390" s="34"/>
      <c r="AN390" s="2"/>
      <c r="AO390" s="2"/>
      <c r="AP390" s="2"/>
      <c r="AQ390" s="2"/>
      <c r="AR390" s="2"/>
    </row>
    <row r="391" spans="1:44">
      <c r="AC391" s="34"/>
      <c r="AD391" s="34"/>
      <c r="AE391" s="34"/>
      <c r="AF391" s="34"/>
      <c r="AG391" s="34"/>
    </row>
    <row r="392" spans="1:44">
      <c r="AC392" s="34"/>
      <c r="AD392" s="34"/>
      <c r="AE392" s="34"/>
      <c r="AF392" s="34"/>
      <c r="AG392" s="34"/>
    </row>
    <row r="393" spans="1:44">
      <c r="AC393" s="34"/>
      <c r="AD393" s="34"/>
      <c r="AE393" s="34"/>
      <c r="AF393" s="34"/>
      <c r="AG393" s="34"/>
    </row>
    <row r="394" spans="1:44">
      <c r="AC394" s="34"/>
      <c r="AD394" s="34"/>
      <c r="AE394" s="34"/>
      <c r="AF394" s="34"/>
      <c r="AG394" s="34"/>
    </row>
    <row r="395" spans="1:44">
      <c r="AC395" s="34"/>
      <c r="AD395" s="34"/>
      <c r="AE395" s="34"/>
      <c r="AF395" s="34"/>
      <c r="AG395" s="34"/>
    </row>
    <row r="396" spans="1:44">
      <c r="AC396" s="616"/>
      <c r="AD396" s="616"/>
      <c r="AE396" s="616"/>
      <c r="AF396" s="616"/>
      <c r="AG396" s="616"/>
      <c r="AH396" s="9"/>
      <c r="AI396" s="9"/>
      <c r="AJ396" s="9"/>
    </row>
    <row r="397" spans="1:44">
      <c r="AC397" s="616"/>
      <c r="AD397" s="616"/>
      <c r="AE397" s="616"/>
      <c r="AF397" s="616"/>
      <c r="AG397" s="616"/>
      <c r="AH397" s="9"/>
      <c r="AI397" s="9"/>
      <c r="AJ397" s="9"/>
    </row>
    <row r="398" spans="1:44">
      <c r="AC398" s="616"/>
      <c r="AD398" s="616"/>
      <c r="AE398" s="616"/>
      <c r="AF398" s="616"/>
      <c r="AG398" s="616"/>
      <c r="AH398" s="9"/>
      <c r="AI398" s="9"/>
      <c r="AJ398" s="9"/>
    </row>
    <row r="399" spans="1:44">
      <c r="AC399" s="616"/>
      <c r="AD399" s="616"/>
      <c r="AE399" s="616"/>
      <c r="AF399" s="616"/>
      <c r="AG399" s="616"/>
      <c r="AH399" s="9"/>
      <c r="AI399" s="9"/>
      <c r="AJ399" s="9"/>
    </row>
    <row r="400" spans="1:44">
      <c r="AC400" s="616"/>
      <c r="AD400" s="616"/>
      <c r="AE400" s="616"/>
      <c r="AF400" s="616"/>
      <c r="AG400" s="616"/>
      <c r="AH400" s="9"/>
      <c r="AI400" s="9"/>
      <c r="AJ400" s="9"/>
    </row>
    <row r="401" spans="29:36">
      <c r="AC401" s="616"/>
      <c r="AD401" s="616"/>
      <c r="AE401" s="616"/>
      <c r="AF401" s="616"/>
      <c r="AG401" s="616"/>
      <c r="AH401" s="9"/>
      <c r="AI401" s="9"/>
      <c r="AJ401" s="9"/>
    </row>
    <row r="402" spans="29:36">
      <c r="AC402" s="616"/>
      <c r="AD402" s="616"/>
      <c r="AE402" s="616"/>
      <c r="AF402" s="616"/>
      <c r="AG402" s="616"/>
      <c r="AH402" s="9"/>
      <c r="AI402" s="9"/>
      <c r="AJ402" s="9"/>
    </row>
    <row r="403" spans="29:36" ht="51" customHeight="1">
      <c r="AC403" s="616"/>
      <c r="AD403" s="616"/>
      <c r="AE403" s="616"/>
      <c r="AF403" s="616"/>
      <c r="AG403" s="616"/>
      <c r="AH403" s="9"/>
      <c r="AI403" s="9"/>
      <c r="AJ403" s="9"/>
    </row>
    <row r="404" spans="29:36" ht="51" customHeight="1">
      <c r="AC404" s="616"/>
      <c r="AD404" s="616"/>
      <c r="AE404" s="616"/>
      <c r="AF404" s="616"/>
      <c r="AG404" s="616"/>
      <c r="AH404" s="9"/>
      <c r="AI404" s="9"/>
      <c r="AJ404" s="9"/>
    </row>
    <row r="405" spans="29:36" ht="51" customHeight="1">
      <c r="AC405" s="616"/>
      <c r="AD405" s="616"/>
      <c r="AE405" s="616"/>
      <c r="AF405" s="616"/>
      <c r="AG405" s="616"/>
      <c r="AH405" s="9"/>
      <c r="AI405" s="9"/>
      <c r="AJ405" s="9"/>
    </row>
    <row r="406" spans="29:36" ht="54" customHeight="1">
      <c r="AC406" s="616"/>
      <c r="AD406" s="616"/>
      <c r="AE406" s="616"/>
      <c r="AF406" s="616"/>
      <c r="AG406" s="616"/>
      <c r="AH406" s="9"/>
      <c r="AI406" s="9"/>
      <c r="AJ406" s="9"/>
    </row>
    <row r="407" spans="29:36" ht="54" customHeight="1">
      <c r="AC407" s="616"/>
      <c r="AD407" s="616"/>
      <c r="AE407" s="616"/>
      <c r="AF407" s="616"/>
      <c r="AG407" s="616"/>
      <c r="AH407" s="9"/>
      <c r="AI407" s="9"/>
      <c r="AJ407" s="9"/>
    </row>
    <row r="408" spans="29:36" ht="51" customHeight="1">
      <c r="AC408" s="616"/>
      <c r="AD408" s="616"/>
      <c r="AE408" s="616"/>
      <c r="AF408" s="616"/>
      <c r="AG408" s="616"/>
      <c r="AH408" s="9"/>
      <c r="AI408" s="9"/>
      <c r="AJ408" s="9"/>
    </row>
    <row r="409" spans="29:36" ht="51" customHeight="1">
      <c r="AC409" s="616"/>
      <c r="AD409" s="616"/>
      <c r="AE409" s="616"/>
      <c r="AF409" s="616"/>
      <c r="AG409" s="616"/>
      <c r="AH409" s="9"/>
      <c r="AI409" s="9"/>
      <c r="AJ409" s="9"/>
    </row>
    <row r="410" spans="29:36" ht="51" customHeight="1">
      <c r="AC410" s="616"/>
      <c r="AD410" s="616"/>
      <c r="AE410" s="616"/>
      <c r="AF410" s="616"/>
      <c r="AG410" s="616"/>
      <c r="AH410" s="9"/>
      <c r="AI410" s="9"/>
      <c r="AJ410" s="9"/>
    </row>
    <row r="411" spans="29:36" ht="51" customHeight="1">
      <c r="AC411" s="616"/>
      <c r="AD411" s="616"/>
      <c r="AE411" s="616"/>
      <c r="AF411" s="616"/>
      <c r="AG411" s="616"/>
      <c r="AH411" s="9"/>
      <c r="AI411" s="9"/>
      <c r="AJ411" s="9"/>
    </row>
    <row r="412" spans="29:36" ht="54" customHeight="1">
      <c r="AC412" s="616"/>
      <c r="AD412" s="616"/>
      <c r="AE412" s="616"/>
      <c r="AF412" s="616"/>
      <c r="AG412" s="616"/>
      <c r="AH412" s="9"/>
      <c r="AI412" s="9"/>
      <c r="AJ412" s="9"/>
    </row>
    <row r="413" spans="29:36" ht="54" customHeight="1">
      <c r="AC413" s="616"/>
      <c r="AD413" s="616"/>
      <c r="AE413" s="616"/>
      <c r="AF413" s="616"/>
      <c r="AG413" s="616"/>
      <c r="AH413" s="9"/>
      <c r="AI413" s="9"/>
      <c r="AJ413" s="9"/>
    </row>
    <row r="414" spans="29:36" ht="51" customHeight="1">
      <c r="AC414" s="616"/>
      <c r="AD414" s="616"/>
      <c r="AE414" s="616"/>
      <c r="AF414" s="616"/>
      <c r="AG414" s="616"/>
      <c r="AH414" s="9"/>
      <c r="AI414" s="9"/>
      <c r="AJ414" s="9"/>
    </row>
    <row r="415" spans="29:36" ht="54" customHeight="1">
      <c r="AC415" s="616"/>
      <c r="AD415" s="616"/>
      <c r="AE415" s="616"/>
      <c r="AF415" s="616"/>
      <c r="AG415" s="616"/>
      <c r="AH415" s="9"/>
      <c r="AI415" s="9"/>
      <c r="AJ415" s="9"/>
    </row>
    <row r="416" spans="29:36" ht="54" customHeight="1">
      <c r="AC416" s="616"/>
      <c r="AD416" s="616"/>
      <c r="AE416" s="616"/>
      <c r="AF416" s="616"/>
      <c r="AG416" s="616"/>
      <c r="AH416" s="9"/>
      <c r="AI416" s="9"/>
      <c r="AJ416" s="9"/>
    </row>
    <row r="417" spans="29:36" ht="51" customHeight="1">
      <c r="AC417" s="616"/>
      <c r="AD417" s="616"/>
      <c r="AE417" s="616"/>
      <c r="AF417" s="616"/>
      <c r="AG417" s="616"/>
      <c r="AH417" s="9"/>
      <c r="AI417" s="9"/>
      <c r="AJ417" s="9"/>
    </row>
    <row r="418" spans="29:36" ht="51" customHeight="1">
      <c r="AC418" s="616"/>
      <c r="AD418" s="616"/>
      <c r="AE418" s="616"/>
      <c r="AF418" s="616"/>
      <c r="AG418" s="616"/>
      <c r="AH418" s="9"/>
      <c r="AI418" s="9"/>
      <c r="AJ418" s="9"/>
    </row>
    <row r="419" spans="29:36" ht="51" customHeight="1">
      <c r="AC419" s="616"/>
      <c r="AD419" s="616"/>
      <c r="AE419" s="616"/>
      <c r="AF419" s="616"/>
      <c r="AG419" s="616"/>
      <c r="AH419" s="9"/>
      <c r="AI419" s="9"/>
      <c r="AJ419" s="9"/>
    </row>
    <row r="420" spans="29:36">
      <c r="AC420" s="616"/>
      <c r="AD420" s="616"/>
      <c r="AE420" s="616"/>
      <c r="AF420" s="616"/>
      <c r="AG420" s="616"/>
      <c r="AH420" s="9"/>
      <c r="AI420" s="9"/>
      <c r="AJ420" s="9"/>
    </row>
    <row r="421" spans="29:36">
      <c r="AC421" s="616"/>
      <c r="AD421" s="616"/>
      <c r="AE421" s="616"/>
      <c r="AF421" s="616"/>
      <c r="AG421" s="616"/>
      <c r="AH421" s="9"/>
      <c r="AI421" s="9"/>
      <c r="AJ421" s="9"/>
    </row>
    <row r="422" spans="29:36">
      <c r="AC422" s="616"/>
      <c r="AD422" s="616"/>
      <c r="AE422" s="616"/>
      <c r="AF422" s="616"/>
      <c r="AG422" s="616"/>
      <c r="AH422" s="9"/>
      <c r="AI422" s="9"/>
      <c r="AJ422" s="9"/>
    </row>
    <row r="423" spans="29:36">
      <c r="AC423" s="616"/>
      <c r="AD423" s="616"/>
      <c r="AE423" s="616"/>
      <c r="AF423" s="616"/>
      <c r="AG423" s="616"/>
      <c r="AH423" s="9"/>
      <c r="AI423" s="9"/>
      <c r="AJ423" s="9"/>
    </row>
    <row r="424" spans="29:36">
      <c r="AC424" s="616"/>
      <c r="AD424" s="616"/>
      <c r="AE424" s="616"/>
      <c r="AF424" s="616"/>
      <c r="AG424" s="616"/>
      <c r="AH424" s="9"/>
      <c r="AI424" s="9"/>
      <c r="AJ424" s="9"/>
    </row>
    <row r="425" spans="29:36">
      <c r="AC425" s="616"/>
      <c r="AD425" s="616"/>
      <c r="AE425" s="616"/>
      <c r="AF425" s="616"/>
      <c r="AG425" s="616"/>
      <c r="AH425" s="9"/>
      <c r="AI425" s="9"/>
      <c r="AJ425" s="9"/>
    </row>
    <row r="426" spans="29:36">
      <c r="AC426" s="616"/>
      <c r="AD426" s="616"/>
      <c r="AE426" s="616"/>
      <c r="AF426" s="616"/>
      <c r="AG426" s="616"/>
      <c r="AH426" s="9"/>
      <c r="AI426" s="9"/>
      <c r="AJ426" s="9"/>
    </row>
    <row r="427" spans="29:36">
      <c r="AC427" s="616"/>
      <c r="AD427" s="616"/>
      <c r="AE427" s="616"/>
      <c r="AF427" s="616"/>
      <c r="AG427" s="616"/>
      <c r="AH427" s="9"/>
      <c r="AI427" s="9"/>
      <c r="AJ427" s="9"/>
    </row>
    <row r="428" spans="29:36">
      <c r="AC428" s="616"/>
      <c r="AD428" s="616"/>
      <c r="AE428" s="616"/>
      <c r="AF428" s="616"/>
      <c r="AG428" s="616"/>
      <c r="AH428" s="9"/>
      <c r="AI428" s="9"/>
      <c r="AJ428" s="9"/>
    </row>
    <row r="429" spans="29:36">
      <c r="AC429" s="616"/>
      <c r="AD429" s="616"/>
      <c r="AE429" s="616"/>
      <c r="AF429" s="616"/>
      <c r="AG429" s="616"/>
      <c r="AH429" s="9"/>
      <c r="AI429" s="9"/>
      <c r="AJ429" s="9"/>
    </row>
    <row r="430" spans="29:36">
      <c r="AC430" s="616"/>
      <c r="AD430" s="616"/>
      <c r="AE430" s="616"/>
      <c r="AF430" s="616"/>
      <c r="AG430" s="616"/>
      <c r="AH430" s="9"/>
      <c r="AI430" s="9"/>
      <c r="AJ430" s="9"/>
    </row>
    <row r="431" spans="29:36">
      <c r="AC431" s="616"/>
      <c r="AD431" s="616"/>
      <c r="AE431" s="616"/>
      <c r="AF431" s="616"/>
      <c r="AG431" s="616"/>
      <c r="AH431" s="9"/>
      <c r="AI431" s="9"/>
      <c r="AJ431" s="9"/>
    </row>
    <row r="432" spans="29:36">
      <c r="AC432" s="616"/>
      <c r="AD432" s="616"/>
      <c r="AE432" s="616"/>
      <c r="AF432" s="616"/>
      <c r="AG432" s="616"/>
      <c r="AH432" s="9"/>
      <c r="AI432" s="9"/>
      <c r="AJ432" s="9"/>
    </row>
    <row r="433" spans="29:36">
      <c r="AC433" s="616"/>
      <c r="AD433" s="616"/>
      <c r="AE433" s="616"/>
      <c r="AF433" s="616"/>
      <c r="AG433" s="616"/>
      <c r="AH433" s="9"/>
      <c r="AI433" s="9"/>
      <c r="AJ433" s="9"/>
    </row>
    <row r="434" spans="29:36">
      <c r="AC434" s="616"/>
      <c r="AD434" s="616"/>
      <c r="AE434" s="616"/>
      <c r="AF434" s="616"/>
      <c r="AG434" s="616"/>
      <c r="AH434" s="9"/>
      <c r="AI434" s="9"/>
      <c r="AJ434" s="9"/>
    </row>
    <row r="435" spans="29:36">
      <c r="AC435" s="616"/>
      <c r="AD435" s="616"/>
      <c r="AE435" s="616"/>
      <c r="AF435" s="616"/>
      <c r="AG435" s="616"/>
      <c r="AH435" s="9"/>
      <c r="AI435" s="9"/>
      <c r="AJ435" s="9"/>
    </row>
    <row r="436" spans="29:36">
      <c r="AC436" s="616"/>
      <c r="AD436" s="616"/>
      <c r="AE436" s="616"/>
      <c r="AF436" s="616"/>
      <c r="AG436" s="616"/>
      <c r="AH436" s="9"/>
      <c r="AI436" s="9"/>
      <c r="AJ436" s="9"/>
    </row>
    <row r="437" spans="29:36">
      <c r="AC437" s="616"/>
      <c r="AD437" s="616"/>
      <c r="AE437" s="616"/>
      <c r="AF437" s="616"/>
      <c r="AG437" s="616"/>
      <c r="AH437" s="9"/>
      <c r="AI437" s="9"/>
      <c r="AJ437" s="9"/>
    </row>
    <row r="438" spans="29:36">
      <c r="AC438" s="616"/>
      <c r="AD438" s="616"/>
      <c r="AE438" s="616"/>
      <c r="AF438" s="616"/>
      <c r="AG438" s="616"/>
      <c r="AH438" s="9"/>
      <c r="AI438" s="9"/>
      <c r="AJ438" s="9"/>
    </row>
    <row r="439" spans="29:36">
      <c r="AC439" s="616"/>
      <c r="AD439" s="616"/>
      <c r="AE439" s="616"/>
      <c r="AF439" s="616"/>
      <c r="AG439" s="616"/>
      <c r="AH439" s="9"/>
      <c r="AI439" s="9"/>
      <c r="AJ439" s="9"/>
    </row>
    <row r="440" spans="29:36">
      <c r="AC440" s="616"/>
      <c r="AD440" s="616"/>
      <c r="AE440" s="616"/>
      <c r="AF440" s="616"/>
      <c r="AG440" s="616"/>
      <c r="AH440" s="9"/>
      <c r="AI440" s="9"/>
      <c r="AJ440" s="9"/>
    </row>
    <row r="441" spans="29:36">
      <c r="AC441" s="616"/>
      <c r="AD441" s="616"/>
      <c r="AE441" s="616"/>
      <c r="AF441" s="616"/>
      <c r="AG441" s="616"/>
      <c r="AH441" s="9"/>
      <c r="AI441" s="9"/>
      <c r="AJ441" s="9"/>
    </row>
    <row r="442" spans="29:36">
      <c r="AC442" s="616"/>
      <c r="AD442" s="616"/>
      <c r="AE442" s="616"/>
      <c r="AF442" s="616"/>
      <c r="AG442" s="616"/>
      <c r="AH442" s="9"/>
      <c r="AI442" s="9"/>
      <c r="AJ442" s="9"/>
    </row>
    <row r="443" spans="29:36">
      <c r="AC443" s="616"/>
      <c r="AD443" s="616"/>
      <c r="AE443" s="616"/>
      <c r="AF443" s="616"/>
      <c r="AG443" s="616"/>
      <c r="AH443" s="9"/>
      <c r="AI443" s="9"/>
      <c r="AJ443" s="9"/>
    </row>
    <row r="444" spans="29:36">
      <c r="AC444" s="616"/>
      <c r="AD444" s="616"/>
      <c r="AE444" s="616"/>
      <c r="AF444" s="616"/>
      <c r="AG444" s="616"/>
      <c r="AH444" s="9"/>
      <c r="AI444" s="9"/>
      <c r="AJ444" s="9"/>
    </row>
    <row r="445" spans="29:36">
      <c r="AC445" s="616"/>
      <c r="AD445" s="616"/>
      <c r="AE445" s="616"/>
      <c r="AF445" s="616"/>
      <c r="AG445" s="616"/>
      <c r="AH445" s="9"/>
      <c r="AI445" s="9"/>
      <c r="AJ445" s="9"/>
    </row>
    <row r="446" spans="29:36">
      <c r="AC446" s="616"/>
      <c r="AD446" s="616"/>
      <c r="AE446" s="616"/>
      <c r="AF446" s="616"/>
      <c r="AG446" s="616"/>
      <c r="AH446" s="9"/>
      <c r="AI446" s="9"/>
      <c r="AJ446" s="9"/>
    </row>
    <row r="447" spans="29:36">
      <c r="AC447" s="616"/>
      <c r="AD447" s="616"/>
      <c r="AE447" s="616"/>
      <c r="AF447" s="616"/>
      <c r="AG447" s="616"/>
      <c r="AH447" s="9"/>
      <c r="AI447" s="9"/>
      <c r="AJ447" s="9"/>
    </row>
    <row r="448" spans="29:36">
      <c r="AC448" s="616"/>
      <c r="AD448" s="616"/>
      <c r="AE448" s="616"/>
      <c r="AF448" s="616"/>
      <c r="AG448" s="616"/>
      <c r="AH448" s="9"/>
      <c r="AI448" s="9"/>
      <c r="AJ448" s="9"/>
    </row>
    <row r="449" spans="29:36">
      <c r="AC449" s="616"/>
      <c r="AD449" s="616"/>
      <c r="AE449" s="616"/>
      <c r="AF449" s="616"/>
      <c r="AG449" s="616"/>
      <c r="AH449" s="9"/>
      <c r="AI449" s="9"/>
      <c r="AJ449" s="9"/>
    </row>
    <row r="450" spans="29:36">
      <c r="AC450" s="616"/>
      <c r="AD450" s="616"/>
      <c r="AE450" s="616"/>
      <c r="AF450" s="616"/>
      <c r="AG450" s="616"/>
      <c r="AH450" s="9"/>
      <c r="AI450" s="9"/>
      <c r="AJ450" s="9"/>
    </row>
    <row r="451" spans="29:36">
      <c r="AC451" s="616"/>
      <c r="AD451" s="616"/>
      <c r="AE451" s="616"/>
      <c r="AF451" s="616"/>
      <c r="AG451" s="616"/>
      <c r="AH451" s="9"/>
      <c r="AI451" s="9"/>
      <c r="AJ451" s="9"/>
    </row>
    <row r="452" spans="29:36">
      <c r="AC452" s="616"/>
      <c r="AD452" s="616"/>
      <c r="AE452" s="616"/>
      <c r="AF452" s="616"/>
      <c r="AG452" s="616"/>
      <c r="AH452" s="9"/>
      <c r="AI452" s="9"/>
      <c r="AJ452" s="9"/>
    </row>
    <row r="453" spans="29:36">
      <c r="AC453" s="616"/>
      <c r="AD453" s="616"/>
      <c r="AE453" s="616"/>
      <c r="AF453" s="616"/>
      <c r="AG453" s="616"/>
      <c r="AH453" s="9"/>
      <c r="AI453" s="9"/>
      <c r="AJ453" s="9"/>
    </row>
    <row r="454" spans="29:36">
      <c r="AC454" s="616"/>
      <c r="AD454" s="616"/>
      <c r="AE454" s="616"/>
      <c r="AF454" s="616"/>
      <c r="AG454" s="616"/>
      <c r="AH454" s="9"/>
      <c r="AI454" s="9"/>
      <c r="AJ454" s="9"/>
    </row>
    <row r="455" spans="29:36">
      <c r="AC455" s="616"/>
      <c r="AD455" s="616"/>
      <c r="AE455" s="616"/>
      <c r="AF455" s="616"/>
      <c r="AG455" s="616"/>
      <c r="AH455" s="9"/>
      <c r="AI455" s="9"/>
      <c r="AJ455" s="9"/>
    </row>
    <row r="456" spans="29:36">
      <c r="AC456" s="616"/>
      <c r="AD456" s="616"/>
      <c r="AE456" s="616"/>
      <c r="AF456" s="616"/>
      <c r="AG456" s="616"/>
      <c r="AH456" s="9"/>
      <c r="AI456" s="9"/>
      <c r="AJ456" s="9"/>
    </row>
    <row r="457" spans="29:36">
      <c r="AC457" s="616"/>
      <c r="AD457" s="616"/>
      <c r="AE457" s="616"/>
      <c r="AF457" s="616"/>
      <c r="AG457" s="616"/>
      <c r="AH457" s="9"/>
      <c r="AI457" s="9"/>
      <c r="AJ457" s="9"/>
    </row>
    <row r="458" spans="29:36">
      <c r="AC458" s="616"/>
      <c r="AD458" s="616"/>
      <c r="AE458" s="616"/>
      <c r="AF458" s="616"/>
      <c r="AG458" s="616"/>
      <c r="AH458" s="9"/>
      <c r="AI458" s="9"/>
      <c r="AJ458" s="9"/>
    </row>
    <row r="459" spans="29:36">
      <c r="AC459" s="616"/>
      <c r="AD459" s="616"/>
      <c r="AE459" s="616"/>
      <c r="AF459" s="616"/>
      <c r="AG459" s="616"/>
      <c r="AH459" s="9"/>
      <c r="AI459" s="9"/>
      <c r="AJ459" s="9"/>
    </row>
    <row r="460" spans="29:36">
      <c r="AC460" s="616"/>
      <c r="AD460" s="616"/>
      <c r="AE460" s="616"/>
      <c r="AF460" s="616"/>
      <c r="AG460" s="616"/>
      <c r="AH460" s="9"/>
      <c r="AI460" s="9"/>
      <c r="AJ460" s="9"/>
    </row>
    <row r="461" spans="29:36">
      <c r="AC461" s="616"/>
      <c r="AD461" s="616"/>
      <c r="AE461" s="616"/>
      <c r="AF461" s="616"/>
      <c r="AG461" s="616"/>
      <c r="AH461" s="9"/>
      <c r="AI461" s="9"/>
      <c r="AJ461" s="9"/>
    </row>
    <row r="462" spans="29:36">
      <c r="AC462" s="616"/>
      <c r="AD462" s="616"/>
      <c r="AE462" s="616"/>
      <c r="AF462" s="616"/>
      <c r="AG462" s="616"/>
      <c r="AH462" s="9"/>
      <c r="AI462" s="9"/>
      <c r="AJ462" s="9"/>
    </row>
    <row r="463" spans="29:36">
      <c r="AC463" s="616"/>
      <c r="AD463" s="616"/>
      <c r="AE463" s="616"/>
      <c r="AF463" s="616"/>
      <c r="AG463" s="616"/>
      <c r="AH463" s="9"/>
      <c r="AI463" s="9"/>
      <c r="AJ463" s="9"/>
    </row>
    <row r="464" spans="29:36">
      <c r="AC464" s="616"/>
      <c r="AD464" s="616"/>
      <c r="AE464" s="616"/>
      <c r="AF464" s="616"/>
      <c r="AG464" s="616"/>
      <c r="AH464" s="9"/>
      <c r="AI464" s="9"/>
      <c r="AJ464" s="9"/>
    </row>
    <row r="465" spans="1:36">
      <c r="AC465" s="616"/>
      <c r="AD465" s="616"/>
      <c r="AE465" s="616"/>
      <c r="AF465" s="616"/>
      <c r="AG465" s="616"/>
      <c r="AH465" s="9"/>
      <c r="AI465" s="9"/>
      <c r="AJ465" s="9"/>
    </row>
    <row r="466" spans="1:36" ht="12.75" hidden="1" customHeight="1">
      <c r="AC466" s="616"/>
      <c r="AD466" s="616"/>
      <c r="AE466" s="616"/>
      <c r="AF466" s="616"/>
      <c r="AG466" s="616"/>
      <c r="AH466" s="9"/>
      <c r="AI466" s="9"/>
      <c r="AJ466" s="9"/>
    </row>
    <row r="467" spans="1:36" ht="12.75" hidden="1" customHeight="1">
      <c r="AC467" s="616"/>
      <c r="AD467" s="616"/>
      <c r="AE467" s="616"/>
      <c r="AF467" s="616"/>
      <c r="AG467" s="616"/>
      <c r="AH467" s="9"/>
      <c r="AI467" s="9"/>
      <c r="AJ467" s="9"/>
    </row>
    <row r="468" spans="1:36" ht="12.75" hidden="1" customHeight="1">
      <c r="AC468" s="616"/>
      <c r="AD468" s="616"/>
      <c r="AE468" s="616"/>
      <c r="AF468" s="616"/>
      <c r="AG468" s="616"/>
      <c r="AH468" s="9"/>
      <c r="AI468" s="9"/>
      <c r="AJ468" s="9"/>
    </row>
    <row r="469" spans="1:36" ht="12.75" hidden="1" customHeight="1">
      <c r="AC469" s="616"/>
      <c r="AD469" s="616"/>
      <c r="AE469" s="616"/>
      <c r="AF469" s="616"/>
      <c r="AG469" s="616"/>
      <c r="AH469" s="9"/>
      <c r="AI469" s="9"/>
      <c r="AJ469" s="9"/>
    </row>
    <row r="470" spans="1:36" ht="12.75" hidden="1" customHeight="1">
      <c r="AC470" s="616"/>
      <c r="AD470" s="616"/>
      <c r="AE470" s="616"/>
      <c r="AF470" s="616"/>
      <c r="AG470" s="616"/>
      <c r="AH470" s="9"/>
      <c r="AI470" s="9"/>
      <c r="AJ470" s="9"/>
    </row>
    <row r="471" spans="1:36" ht="12.75" hidden="1" customHeight="1">
      <c r="AC471" s="616"/>
      <c r="AD471" s="616"/>
      <c r="AE471" s="616"/>
      <c r="AF471" s="616"/>
      <c r="AG471" s="616"/>
      <c r="AH471" s="9"/>
      <c r="AI471" s="9"/>
      <c r="AJ471" s="9"/>
    </row>
    <row r="472" spans="1:36" ht="12.75" hidden="1" customHeight="1">
      <c r="AC472" s="616"/>
      <c r="AD472" s="616"/>
      <c r="AE472" s="616"/>
      <c r="AF472" s="616"/>
      <c r="AG472" s="616"/>
      <c r="AH472" s="9"/>
      <c r="AI472" s="9"/>
      <c r="AJ472" s="9"/>
    </row>
    <row r="473" spans="1:36" ht="12.75" hidden="1" customHeight="1">
      <c r="AC473" s="616"/>
      <c r="AD473" s="616"/>
      <c r="AE473" s="616"/>
      <c r="AF473" s="616"/>
      <c r="AG473" s="616"/>
      <c r="AH473" s="9"/>
      <c r="AI473" s="9"/>
      <c r="AJ473" s="9"/>
    </row>
    <row r="474" spans="1:36" ht="12.75" hidden="1" customHeight="1">
      <c r="AC474" s="616"/>
      <c r="AD474" s="616"/>
      <c r="AE474" s="616"/>
      <c r="AF474" s="616"/>
      <c r="AG474" s="616"/>
      <c r="AH474" s="9"/>
      <c r="AI474" s="9"/>
      <c r="AJ474" s="9"/>
    </row>
    <row r="475" spans="1:36">
      <c r="AC475" s="616"/>
      <c r="AD475" s="616"/>
      <c r="AE475" s="616"/>
      <c r="AF475" s="616"/>
      <c r="AG475" s="616"/>
      <c r="AH475" s="9"/>
      <c r="AI475" s="9"/>
      <c r="AJ475" s="9"/>
    </row>
    <row r="476" spans="1:36">
      <c r="A476" s="34"/>
      <c r="B476" s="34"/>
      <c r="C476" s="34"/>
      <c r="D476" s="34"/>
      <c r="E476" s="34"/>
      <c r="F476" s="34"/>
      <c r="G476" s="34"/>
      <c r="H476" s="34"/>
      <c r="I476" s="34"/>
      <c r="J476" s="34"/>
      <c r="K476" s="34"/>
      <c r="L476" s="34"/>
      <c r="M476" s="34"/>
      <c r="N476" s="34"/>
      <c r="O476" s="34"/>
      <c r="P476" s="34"/>
      <c r="Q476" s="34"/>
      <c r="R476" s="34"/>
      <c r="S476" s="34"/>
      <c r="T476" s="34"/>
      <c r="U476" s="34"/>
      <c r="V476" s="34"/>
      <c r="W476" s="616"/>
      <c r="X476" s="616"/>
      <c r="Y476" s="616"/>
      <c r="Z476" s="616"/>
      <c r="AA476" s="616"/>
      <c r="AB476" s="616"/>
      <c r="AC476" s="616"/>
      <c r="AD476" s="616"/>
      <c r="AE476" s="616"/>
      <c r="AF476" s="616"/>
      <c r="AG476" s="616"/>
      <c r="AH476" s="9"/>
      <c r="AI476" s="9"/>
      <c r="AJ476" s="9"/>
    </row>
    <row r="477" spans="1:36">
      <c r="A477" s="34"/>
      <c r="B477" s="34"/>
      <c r="C477" s="34"/>
      <c r="D477" s="34"/>
      <c r="E477" s="34"/>
      <c r="F477" s="34"/>
      <c r="G477" s="34"/>
      <c r="H477" s="34"/>
      <c r="I477" s="34"/>
      <c r="J477" s="34"/>
      <c r="K477" s="34"/>
      <c r="L477" s="34"/>
      <c r="M477" s="34"/>
      <c r="N477" s="34"/>
      <c r="O477" s="34"/>
      <c r="P477" s="34"/>
      <c r="Q477" s="34"/>
      <c r="R477" s="34"/>
      <c r="S477" s="34"/>
      <c r="T477" s="34"/>
      <c r="U477" s="34"/>
      <c r="V477" s="34"/>
      <c r="W477" s="616"/>
      <c r="X477" s="616"/>
      <c r="Y477" s="616"/>
      <c r="Z477" s="616"/>
      <c r="AA477" s="616"/>
      <c r="AB477" s="616"/>
      <c r="AC477" s="616"/>
      <c r="AD477" s="616"/>
      <c r="AE477" s="616"/>
      <c r="AF477" s="616"/>
      <c r="AG477" s="616"/>
      <c r="AH477" s="9"/>
      <c r="AI477" s="9"/>
      <c r="AJ477" s="9"/>
    </row>
    <row r="478" spans="1:36">
      <c r="A478" s="34"/>
      <c r="B478" s="34"/>
      <c r="C478" s="34"/>
      <c r="D478" s="34"/>
      <c r="E478" s="34"/>
      <c r="F478" s="34"/>
      <c r="G478" s="34"/>
      <c r="H478" s="34"/>
      <c r="I478" s="34"/>
      <c r="J478" s="34"/>
      <c r="K478" s="34"/>
      <c r="L478" s="34"/>
      <c r="M478" s="34"/>
      <c r="N478" s="34"/>
      <c r="O478" s="34"/>
      <c r="P478" s="34"/>
      <c r="Q478" s="34"/>
      <c r="R478" s="34"/>
      <c r="S478" s="34"/>
      <c r="T478" s="34"/>
      <c r="U478" s="34"/>
      <c r="V478" s="34"/>
      <c r="W478" s="616"/>
      <c r="X478" s="616"/>
      <c r="Y478" s="616"/>
      <c r="Z478" s="616"/>
      <c r="AA478" s="616"/>
      <c r="AB478" s="616"/>
      <c r="AC478" s="616"/>
      <c r="AD478" s="616"/>
      <c r="AE478" s="616"/>
      <c r="AF478" s="616"/>
      <c r="AG478" s="616"/>
      <c r="AH478" s="9"/>
      <c r="AI478" s="9"/>
      <c r="AJ478" s="9"/>
    </row>
    <row r="479" spans="1:36">
      <c r="A479" s="34"/>
      <c r="B479" s="34"/>
      <c r="C479" s="34"/>
      <c r="D479" s="34"/>
      <c r="E479" s="34"/>
      <c r="F479" s="34"/>
      <c r="G479" s="34"/>
      <c r="H479" s="34"/>
      <c r="I479" s="34"/>
      <c r="J479" s="34"/>
      <c r="K479" s="34"/>
      <c r="L479" s="34"/>
      <c r="M479" s="34"/>
      <c r="N479" s="34"/>
      <c r="O479" s="34"/>
      <c r="P479" s="34"/>
      <c r="Q479" s="34"/>
      <c r="R479" s="34"/>
      <c r="S479" s="34"/>
      <c r="T479" s="34"/>
      <c r="U479" s="34"/>
      <c r="V479" s="34"/>
      <c r="W479" s="616"/>
      <c r="X479" s="616"/>
      <c r="Y479" s="616"/>
      <c r="Z479" s="616"/>
      <c r="AA479" s="616"/>
      <c r="AB479" s="616"/>
      <c r="AC479" s="616"/>
      <c r="AD479" s="616"/>
      <c r="AE479" s="616"/>
      <c r="AF479" s="616"/>
      <c r="AG479" s="616"/>
      <c r="AH479" s="9"/>
      <c r="AI479" s="9"/>
      <c r="AJ479" s="9"/>
    </row>
    <row r="480" spans="1:36">
      <c r="A480" s="34"/>
      <c r="B480" s="34"/>
      <c r="C480" s="34"/>
      <c r="D480" s="34"/>
      <c r="E480" s="34"/>
      <c r="F480" s="34"/>
      <c r="G480" s="34"/>
      <c r="H480" s="34"/>
      <c r="I480" s="34"/>
      <c r="J480" s="34"/>
      <c r="K480" s="34"/>
      <c r="L480" s="34"/>
      <c r="M480" s="34"/>
      <c r="N480" s="34"/>
      <c r="O480" s="34"/>
      <c r="P480" s="34"/>
      <c r="Q480" s="34"/>
      <c r="R480" s="34"/>
      <c r="S480" s="34"/>
      <c r="T480" s="34"/>
      <c r="U480" s="34"/>
      <c r="V480" s="34"/>
      <c r="W480" s="616"/>
      <c r="X480" s="616"/>
      <c r="Y480" s="616"/>
      <c r="Z480" s="616"/>
      <c r="AA480" s="616"/>
      <c r="AB480" s="616"/>
      <c r="AC480" s="616"/>
      <c r="AD480" s="616"/>
      <c r="AE480" s="616"/>
      <c r="AF480" s="616"/>
      <c r="AG480" s="616"/>
      <c r="AH480" s="9"/>
      <c r="AI480" s="9"/>
      <c r="AJ480" s="9"/>
    </row>
    <row r="481" spans="1:36">
      <c r="A481" s="34"/>
      <c r="B481" s="34"/>
      <c r="C481" s="34"/>
      <c r="D481" s="34"/>
      <c r="E481" s="34"/>
      <c r="F481" s="34"/>
      <c r="G481" s="34"/>
      <c r="H481" s="34"/>
      <c r="I481" s="34"/>
      <c r="J481" s="34"/>
      <c r="K481" s="34"/>
      <c r="L481" s="34"/>
      <c r="M481" s="34"/>
      <c r="N481" s="34"/>
      <c r="O481" s="34"/>
      <c r="P481" s="34"/>
      <c r="Q481" s="34"/>
      <c r="R481" s="34"/>
      <c r="S481" s="34"/>
      <c r="T481" s="34"/>
      <c r="U481" s="34"/>
      <c r="V481" s="34"/>
      <c r="W481" s="616"/>
      <c r="X481" s="616"/>
      <c r="Y481" s="616"/>
      <c r="Z481" s="616"/>
      <c r="AA481" s="616"/>
      <c r="AB481" s="616"/>
      <c r="AC481" s="616"/>
      <c r="AD481" s="616"/>
      <c r="AE481" s="616"/>
      <c r="AF481" s="616"/>
      <c r="AG481" s="616"/>
      <c r="AH481" s="9"/>
      <c r="AI481" s="9"/>
      <c r="AJ481" s="9"/>
    </row>
    <row r="482" spans="1:36">
      <c r="A482" s="34"/>
      <c r="B482" s="34"/>
      <c r="C482" s="34"/>
      <c r="D482" s="34"/>
      <c r="E482" s="34"/>
      <c r="F482" s="34"/>
      <c r="G482" s="34"/>
      <c r="H482" s="34"/>
      <c r="I482" s="34"/>
      <c r="J482" s="34"/>
      <c r="K482" s="34"/>
      <c r="L482" s="34"/>
      <c r="M482" s="34"/>
      <c r="N482" s="34"/>
      <c r="O482" s="34"/>
      <c r="P482" s="34"/>
      <c r="Q482" s="34"/>
      <c r="R482" s="34"/>
      <c r="S482" s="34"/>
      <c r="T482" s="34"/>
      <c r="U482" s="34"/>
      <c r="V482" s="34"/>
      <c r="W482" s="616"/>
      <c r="X482" s="616"/>
      <c r="Y482" s="616"/>
      <c r="Z482" s="616"/>
      <c r="AA482" s="616"/>
      <c r="AB482" s="616"/>
      <c r="AC482" s="616"/>
      <c r="AD482" s="616"/>
      <c r="AE482" s="616"/>
      <c r="AF482" s="616"/>
      <c r="AG482" s="616"/>
      <c r="AH482" s="9"/>
      <c r="AI482" s="9"/>
      <c r="AJ482" s="9"/>
    </row>
    <row r="483" spans="1:36">
      <c r="A483" s="34"/>
      <c r="B483" s="34"/>
      <c r="C483" s="34"/>
      <c r="D483" s="34"/>
      <c r="E483" s="34"/>
      <c r="F483" s="34"/>
      <c r="G483" s="34"/>
      <c r="H483" s="34"/>
      <c r="I483" s="34"/>
      <c r="J483" s="34"/>
      <c r="K483" s="34"/>
      <c r="L483" s="34"/>
      <c r="M483" s="34"/>
      <c r="N483" s="34"/>
      <c r="O483" s="34"/>
      <c r="P483" s="34"/>
      <c r="Q483" s="34"/>
      <c r="R483" s="34"/>
      <c r="S483" s="34"/>
      <c r="T483" s="34"/>
      <c r="U483" s="34"/>
      <c r="V483" s="34"/>
      <c r="W483" s="616"/>
      <c r="X483" s="616"/>
      <c r="Y483" s="616"/>
      <c r="Z483" s="616"/>
      <c r="AA483" s="616"/>
      <c r="AB483" s="616"/>
      <c r="AC483" s="616"/>
      <c r="AD483" s="616"/>
      <c r="AE483" s="616"/>
      <c r="AF483" s="616"/>
      <c r="AG483" s="616"/>
      <c r="AH483" s="9"/>
      <c r="AI483" s="9"/>
      <c r="AJ483" s="9"/>
    </row>
    <row r="484" spans="1:36">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row>
    <row r="485" spans="1:36">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row>
    <row r="486" spans="1:36">
      <c r="A486" s="34"/>
      <c r="B486" s="34"/>
      <c r="C486" s="34"/>
      <c r="D486" s="34"/>
      <c r="E486" s="34"/>
      <c r="F486" s="34"/>
      <c r="G486" s="34"/>
      <c r="H486" s="34"/>
      <c r="I486" s="34"/>
      <c r="J486" s="34"/>
      <c r="K486" s="34"/>
      <c r="L486" s="34"/>
      <c r="M486" s="34"/>
      <c r="N486" s="34"/>
      <c r="O486" s="34"/>
      <c r="P486" s="729"/>
      <c r="Q486" s="729"/>
      <c r="R486" s="34"/>
      <c r="S486" s="34"/>
      <c r="T486" s="34"/>
      <c r="U486" s="34"/>
      <c r="V486" s="34"/>
      <c r="W486" s="34"/>
      <c r="X486" s="34"/>
      <c r="Y486" s="34"/>
      <c r="Z486" s="34"/>
      <c r="AA486" s="34"/>
      <c r="AB486" s="34"/>
      <c r="AC486" s="34"/>
      <c r="AD486" s="34"/>
      <c r="AE486" s="34"/>
      <c r="AF486" s="34"/>
      <c r="AG486" s="34"/>
    </row>
    <row r="487" spans="1:36">
      <c r="A487" s="34"/>
      <c r="B487" s="34"/>
      <c r="C487" s="34"/>
      <c r="D487" s="34"/>
      <c r="E487" s="34"/>
      <c r="F487" s="34"/>
      <c r="G487" s="34"/>
      <c r="H487" s="34"/>
      <c r="I487" s="34"/>
      <c r="J487" s="34"/>
      <c r="K487" s="34"/>
      <c r="L487" s="34"/>
      <c r="M487" s="34"/>
      <c r="N487" s="34"/>
      <c r="O487" s="34"/>
      <c r="P487" s="729"/>
      <c r="Q487" s="729"/>
      <c r="R487" s="34"/>
      <c r="S487" s="34"/>
      <c r="T487" s="34"/>
      <c r="U487" s="34"/>
      <c r="V487" s="34"/>
      <c r="W487" s="34"/>
      <c r="X487" s="34"/>
      <c r="Y487" s="34"/>
      <c r="Z487" s="34"/>
      <c r="AA487" s="34"/>
      <c r="AB487" s="34"/>
      <c r="AC487" s="34"/>
      <c r="AD487" s="34"/>
      <c r="AE487" s="34"/>
      <c r="AF487" s="34"/>
      <c r="AG487" s="34"/>
    </row>
    <row r="488" spans="1:36">
      <c r="A488" s="34"/>
      <c r="B488" s="34"/>
      <c r="C488" s="34"/>
      <c r="D488" s="34"/>
      <c r="E488" s="34"/>
      <c r="F488" s="34"/>
      <c r="G488" s="34"/>
      <c r="H488" s="34"/>
      <c r="I488" s="34"/>
      <c r="J488" s="34"/>
      <c r="K488" s="34"/>
      <c r="L488" s="34"/>
      <c r="M488" s="34"/>
      <c r="N488" s="34"/>
      <c r="O488" s="34"/>
      <c r="P488" s="729"/>
      <c r="Q488" s="729"/>
      <c r="R488" s="34"/>
      <c r="S488" s="34"/>
      <c r="T488" s="34"/>
      <c r="U488" s="34"/>
      <c r="V488" s="34"/>
      <c r="W488" s="34"/>
      <c r="X488" s="34"/>
      <c r="Y488" s="34"/>
      <c r="Z488" s="34"/>
      <c r="AA488" s="34"/>
      <c r="AB488" s="34"/>
      <c r="AC488" s="34"/>
      <c r="AD488" s="34"/>
      <c r="AE488" s="34"/>
      <c r="AF488" s="34"/>
      <c r="AG488" s="34"/>
    </row>
    <row r="489" spans="1:36">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row>
    <row r="490" spans="1:36">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row>
    <row r="491" spans="1:36">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row>
    <row r="492" spans="1:36">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row>
    <row r="493" spans="1:36">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row>
    <row r="494" spans="1:36">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row>
    <row r="495" spans="1:36">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row>
    <row r="496" spans="1:36">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row>
    <row r="497" spans="1:33">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row>
    <row r="498" spans="1:33">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row>
    <row r="499" spans="1:33">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row>
    <row r="500" spans="1:33">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row>
    <row r="501" spans="1:33">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row>
    <row r="502" spans="1:33">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row>
    <row r="503" spans="1:33">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row>
    <row r="504" spans="1:33">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row>
    <row r="505" spans="1:33">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row>
    <row r="506" spans="1:33">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row>
    <row r="507" spans="1:33">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row>
    <row r="508" spans="1:33">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row>
    <row r="509" spans="1:33">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row>
    <row r="510" spans="1:33">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row>
    <row r="511" spans="1:33">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row>
    <row r="512" spans="1:33">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row>
    <row r="513" spans="1:33">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row>
    <row r="514" spans="1:33">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row>
    <row r="515" spans="1:33">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row>
    <row r="516" spans="1:33">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row>
    <row r="517" spans="1:33">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row>
    <row r="518" spans="1:33">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row>
    <row r="519" spans="1:33">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row>
    <row r="520" spans="1:33">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row>
    <row r="521" spans="1:33">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row>
    <row r="522" spans="1:33">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row>
    <row r="523" spans="1:33">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row>
    <row r="524" spans="1:33">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row>
    <row r="525" spans="1:33">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row>
    <row r="526" spans="1:33">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row>
    <row r="527" spans="1:33">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row>
    <row r="528" spans="1:33">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row>
    <row r="529" spans="1:33">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row>
    <row r="530" spans="1:33">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row>
    <row r="531" spans="1:33">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row>
    <row r="532" spans="1:33">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row>
    <row r="533" spans="1:33">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row>
    <row r="534" spans="1:33">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row>
    <row r="535" spans="1:33">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row>
    <row r="536" spans="1:33">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row>
    <row r="537" spans="1:33">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row>
    <row r="538" spans="1:33">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row>
    <row r="539" spans="1:33">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row>
    <row r="540" spans="1:33">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row>
    <row r="541" spans="1:33">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row>
    <row r="542" spans="1:33">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row>
    <row r="543" spans="1:33">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row>
    <row r="544" spans="1:33">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row>
    <row r="545" spans="1:33">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row>
    <row r="546" spans="1:33">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row>
    <row r="547" spans="1:33">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row>
    <row r="548" spans="1:33">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row>
    <row r="549" spans="1:33">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row>
    <row r="550" spans="1:33">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row>
    <row r="551" spans="1:33">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row>
    <row r="552" spans="1:33">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row>
    <row r="553" spans="1:33">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row>
    <row r="554" spans="1:33">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row>
    <row r="555" spans="1:33">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row>
    <row r="556" spans="1:33">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row>
    <row r="557" spans="1:33">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row>
    <row r="558" spans="1:33">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row>
    <row r="559" spans="1:33">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row>
    <row r="560" spans="1:33">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row>
    <row r="561" spans="1:33">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row>
    <row r="562" spans="1:33">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row>
    <row r="563" spans="1:33">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row>
    <row r="564" spans="1:33">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row>
    <row r="565" spans="1:33">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row>
    <row r="566" spans="1:33">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row>
    <row r="567" spans="1:33">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row>
    <row r="568" spans="1:33">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row>
    <row r="569" spans="1:33">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row>
    <row r="570" spans="1:33">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row>
    <row r="571" spans="1:33">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row>
    <row r="572" spans="1:33">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row>
    <row r="573" spans="1:33">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row>
    <row r="574" spans="1:33">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row>
    <row r="575" spans="1:33">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row>
    <row r="576" spans="1:33">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row>
    <row r="577" spans="1:33">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row>
    <row r="578" spans="1:33">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row>
    <row r="579" spans="1:33">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row>
    <row r="580" spans="1:33">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row>
    <row r="581" spans="1:33">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row>
    <row r="582" spans="1:33">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row>
    <row r="583" spans="1:33">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row>
    <row r="584" spans="1:33">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row>
    <row r="585" spans="1:33">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row>
    <row r="586" spans="1:33">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row>
    <row r="587" spans="1:33">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row>
    <row r="588" spans="1:33">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row>
    <row r="589" spans="1:33">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row>
    <row r="590" spans="1:33">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row>
    <row r="591" spans="1:33">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row>
    <row r="592" spans="1:33">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row>
    <row r="593" spans="1:33">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row>
    <row r="594" spans="1:33">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row>
    <row r="595" spans="1:33">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row>
    <row r="596" spans="1:33">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row>
    <row r="597" spans="1:33">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row>
    <row r="598" spans="1:33">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row>
    <row r="599" spans="1:33">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row>
    <row r="600" spans="1:33">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row>
    <row r="601" spans="1:33">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row>
    <row r="602" spans="1:33">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row>
    <row r="603" spans="1:33">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row>
    <row r="604" spans="1:33">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row>
    <row r="605" spans="1:33">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row>
    <row r="606" spans="1:33">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row>
    <row r="607" spans="1:33">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row>
    <row r="608" spans="1:33">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row>
    <row r="609" spans="1:33">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row>
    <row r="610" spans="1:33">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row>
    <row r="611" spans="1:33">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row>
    <row r="612" spans="1:33">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row>
    <row r="613" spans="1:33">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row>
    <row r="614" spans="1:33">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row>
    <row r="615" spans="1:33">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row>
    <row r="616" spans="1:33">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row>
    <row r="617" spans="1:33">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row>
    <row r="618" spans="1:33">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row>
    <row r="619" spans="1:33">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row>
    <row r="620" spans="1:33">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row>
    <row r="621" spans="1:33">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row>
    <row r="622" spans="1:33">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row>
    <row r="623" spans="1:33">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row>
    <row r="624" spans="1:33">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row>
    <row r="625" spans="1:33">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row>
    <row r="626" spans="1:33">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row>
    <row r="627" spans="1:33">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row>
    <row r="628" spans="1:33">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row>
    <row r="629" spans="1:33">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row>
    <row r="630" spans="1:33">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row>
    <row r="631" spans="1:33">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row>
    <row r="632" spans="1:33">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row>
    <row r="633" spans="1:33">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row>
    <row r="634" spans="1:33">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row>
    <row r="635" spans="1:33">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row>
    <row r="636" spans="1:33">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row>
    <row r="637" spans="1:33">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row>
    <row r="638" spans="1:33">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row>
    <row r="639" spans="1:33">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row>
    <row r="640" spans="1:33">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row>
    <row r="641" spans="1:33">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row>
    <row r="642" spans="1:33">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row>
    <row r="643" spans="1:33">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row>
    <row r="644" spans="1:33">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row>
    <row r="645" spans="1:33">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row>
    <row r="646" spans="1:33">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row>
    <row r="647" spans="1:33">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row>
    <row r="648" spans="1:33">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row>
    <row r="649" spans="1:33">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row>
    <row r="650" spans="1:33">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row>
    <row r="651" spans="1:33">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row>
    <row r="652" spans="1:33">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row>
    <row r="653" spans="1:33">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row>
    <row r="654" spans="1:33">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row>
    <row r="655" spans="1:33">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row>
    <row r="656" spans="1:33">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row>
    <row r="657" spans="1:33">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row>
    <row r="658" spans="1:33">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row>
    <row r="659" spans="1:33">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row>
    <row r="660" spans="1:33">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row>
    <row r="661" spans="1:33">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row>
    <row r="662" spans="1:33">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row>
    <row r="663" spans="1:33">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row>
    <row r="664" spans="1:33">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row>
    <row r="665" spans="1:33">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row>
    <row r="666" spans="1:33">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row>
    <row r="667" spans="1:33">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row>
    <row r="668" spans="1:33">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row>
    <row r="669" spans="1:33">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row>
    <row r="670" spans="1:33">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row>
    <row r="671" spans="1:33">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row>
    <row r="672" spans="1:33">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row>
    <row r="673" spans="1:33">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row>
    <row r="674" spans="1:33">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row>
    <row r="675" spans="1:33">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row>
    <row r="676" spans="1:33">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row>
    <row r="677" spans="1:33">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row>
    <row r="678" spans="1:33">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row>
    <row r="679" spans="1:33">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row>
    <row r="680" spans="1:33">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row>
    <row r="681" spans="1:33">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row>
    <row r="682" spans="1:33">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row>
    <row r="683" spans="1:33">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row>
    <row r="684" spans="1:33">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row>
    <row r="685" spans="1:33">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row>
    <row r="686" spans="1:33">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row>
    <row r="687" spans="1:33">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row>
    <row r="688" spans="1:33">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row>
    <row r="689" spans="1:33">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row>
    <row r="690" spans="1:33">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row>
    <row r="691" spans="1:33">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row>
    <row r="692" spans="1:33">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row>
    <row r="693" spans="1:33">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row>
    <row r="694" spans="1:33">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row>
    <row r="695" spans="1:33">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row>
    <row r="696" spans="1:33">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row>
    <row r="697" spans="1:33">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row>
    <row r="698" spans="1:33">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row>
    <row r="699" spans="1:33">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row>
    <row r="700" spans="1:33">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row>
    <row r="701" spans="1:33">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row>
    <row r="702" spans="1:33">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row>
    <row r="703" spans="1:33">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row>
    <row r="704" spans="1:33">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row>
    <row r="705" spans="1:33">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row>
    <row r="706" spans="1:33">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row>
    <row r="707" spans="1:33">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row>
    <row r="708" spans="1:33">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row>
    <row r="709" spans="1:33">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row>
    <row r="710" spans="1:33">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row>
    <row r="711" spans="1:33">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row>
    <row r="712" spans="1:33">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row>
    <row r="713" spans="1:33">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row>
    <row r="714" spans="1:33">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row>
    <row r="715" spans="1:33">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row>
    <row r="716" spans="1:33">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row>
    <row r="717" spans="1:33">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row>
    <row r="718" spans="1:33">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row>
    <row r="719" spans="1:33">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row>
    <row r="720" spans="1:33">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row>
    <row r="721" spans="1:33">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row>
    <row r="722" spans="1:33">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row>
    <row r="723" spans="1:33">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row>
    <row r="724" spans="1:33">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row>
    <row r="725" spans="1:33">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row>
    <row r="726" spans="1:33">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row>
    <row r="727" spans="1:33">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row>
    <row r="728" spans="1:33">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row>
    <row r="729" spans="1:33">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row>
    <row r="730" spans="1:33">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row>
    <row r="731" spans="1:33">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row>
    <row r="732" spans="1:33">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row>
    <row r="733" spans="1:33">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row>
    <row r="734" spans="1:33">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row>
    <row r="735" spans="1:33">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row>
    <row r="736" spans="1:33">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row>
    <row r="737" spans="1:33">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row>
    <row r="738" spans="1:33">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row>
    <row r="739" spans="1:33">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row>
    <row r="740" spans="1:33">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row>
    <row r="741" spans="1:33">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row>
    <row r="742" spans="1:33">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row>
    <row r="743" spans="1:33">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row>
    <row r="744" spans="1:33">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row>
    <row r="745" spans="1:33">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row>
    <row r="746" spans="1:33">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row>
    <row r="747" spans="1:33">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row>
    <row r="748" spans="1:33">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row>
    <row r="749" spans="1:33">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row>
    <row r="750" spans="1:33">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row>
    <row r="751" spans="1:33">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row>
    <row r="752" spans="1:33">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row>
    <row r="753" spans="1:33">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row>
    <row r="754" spans="1:33">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row>
    <row r="755" spans="1:33">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row>
    <row r="756" spans="1:33">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row>
    <row r="757" spans="1:33">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row>
    <row r="758" spans="1:33">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row>
    <row r="759" spans="1:33">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row>
    <row r="760" spans="1:33">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row>
    <row r="761" spans="1:33">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row>
    <row r="762" spans="1:33">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row>
    <row r="763" spans="1:33">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row>
    <row r="764" spans="1:33">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row>
    <row r="765" spans="1:33">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row>
    <row r="766" spans="1:33">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row>
    <row r="767" spans="1:33">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row>
    <row r="768" spans="1:33">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row>
    <row r="769" spans="1:33">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row>
    <row r="770" spans="1:33">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row>
    <row r="771" spans="1:33">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row>
    <row r="772" spans="1:33">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row>
    <row r="773" spans="1:33">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row>
    <row r="774" spans="1:33">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row>
    <row r="775" spans="1:33">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row>
    <row r="776" spans="1:33">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row>
    <row r="777" spans="1:33">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row>
    <row r="778" spans="1:33">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row>
    <row r="779" spans="1:33">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row>
    <row r="780" spans="1:33">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row>
    <row r="781" spans="1:33">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row>
  </sheetData>
  <dataConsolidate/>
  <customSheetViews>
    <customSheetView guid="{5826E3E6-173D-429F-ABE1-D868EE9E034B}" showPageBreaks="1" fitToPage="1" hiddenRows="1" hiddenColumns="1" topLeftCell="J21">
      <selection activeCell="Q74" sqref="Q74"/>
      <pageMargins left="0" right="0" top="0" bottom="0" header="0" footer="0"/>
      <pageSetup paperSize="9" scale="88" orientation="landscape" horizontalDpi="1200" verticalDpi="1200" r:id="rId1"/>
      <headerFooter alignWithMargins="0"/>
    </customSheetView>
  </customSheetViews>
  <mergeCells count="4">
    <mergeCell ref="W1:AA1"/>
    <mergeCell ref="W69:AA69"/>
    <mergeCell ref="W107:AA107"/>
    <mergeCell ref="W85:AA85"/>
  </mergeCells>
  <phoneticPr fontId="2" type="noConversion"/>
  <printOptions horizontalCentered="1" headings="1" gridLines="1"/>
  <pageMargins left="0.70866141732283472" right="0.70866141732283472" top="0.74803149606299213" bottom="0.74803149606299213" header="0.31496062992125984" footer="0.31496062992125984"/>
  <pageSetup paperSize="9" scale="61" fitToHeight="0" orientation="portrait" cellComments="atEnd" horizontalDpi="1200" verticalDpi="1200" r:id="rId2"/>
  <headerFooter>
    <oddHeader xml:space="preserve">&amp;R
</oddHeader>
  </headerFooter>
  <rowBreaks count="4" manualBreakCount="4">
    <brk id="68" max="27" man="1"/>
    <brk id="106" max="27" man="1"/>
    <brk id="184" max="27" man="1"/>
    <brk id="243" max="1638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M33"/>
  <sheetViews>
    <sheetView workbookViewId="0">
      <selection sqref="A1:B1"/>
    </sheetView>
  </sheetViews>
  <sheetFormatPr defaultRowHeight="12.75"/>
  <cols>
    <col min="1" max="1" width="12.5703125" customWidth="1"/>
    <col min="3" max="3" width="11" customWidth="1"/>
    <col min="4" max="4" width="12.28515625" customWidth="1"/>
    <col min="5" max="5" width="10.5703125" customWidth="1"/>
    <col min="6" max="6" width="14.28515625" customWidth="1"/>
    <col min="7" max="7" width="6" customWidth="1"/>
    <col min="8" max="8" width="12.85546875" customWidth="1"/>
    <col min="9" max="9" width="13.85546875" customWidth="1"/>
    <col min="10" max="10" width="9" bestFit="1" customWidth="1"/>
  </cols>
  <sheetData>
    <row r="1" spans="1:13" ht="69" customHeight="1">
      <c r="A1" s="1649" t="s">
        <v>1118</v>
      </c>
      <c r="B1" s="1649"/>
      <c r="C1" s="495"/>
      <c r="D1" s="495"/>
      <c r="E1" s="495"/>
      <c r="F1" s="495"/>
      <c r="G1" s="495"/>
      <c r="H1" s="495"/>
      <c r="I1" s="495"/>
      <c r="J1" s="495"/>
      <c r="K1" s="495"/>
    </row>
    <row r="2" spans="1:13" ht="18">
      <c r="A2" s="495"/>
      <c r="B2" s="501"/>
      <c r="C2" s="495"/>
      <c r="D2" s="495"/>
      <c r="E2" s="495"/>
      <c r="F2" s="495"/>
      <c r="G2" s="495"/>
      <c r="H2" s="495"/>
      <c r="I2" s="495"/>
      <c r="J2" s="495"/>
      <c r="K2" s="495"/>
    </row>
    <row r="3" spans="1:13" ht="18">
      <c r="A3" s="515" t="s">
        <v>125</v>
      </c>
      <c r="B3" s="496" t="s">
        <v>1119</v>
      </c>
      <c r="C3" s="497"/>
      <c r="D3" s="497"/>
      <c r="E3" s="497"/>
      <c r="F3" s="497"/>
      <c r="G3" s="497"/>
      <c r="H3" s="497"/>
      <c r="I3" s="497"/>
      <c r="J3" s="497"/>
      <c r="K3" s="495"/>
    </row>
    <row r="4" spans="1:13" ht="18">
      <c r="A4" s="514"/>
      <c r="B4" s="501"/>
      <c r="C4" s="495"/>
      <c r="D4" s="495"/>
      <c r="E4" s="495"/>
      <c r="F4" s="495"/>
      <c r="G4" s="495"/>
      <c r="H4" s="495"/>
      <c r="I4" s="495"/>
      <c r="J4" s="495"/>
      <c r="K4" s="495"/>
    </row>
    <row r="5" spans="1:13" ht="18">
      <c r="A5" s="495"/>
      <c r="B5" s="495" t="s">
        <v>45</v>
      </c>
      <c r="C5" s="495"/>
      <c r="D5" s="498">
        <v>10000</v>
      </c>
      <c r="E5" s="495"/>
      <c r="F5" s="495"/>
      <c r="G5" s="495"/>
      <c r="H5" s="495"/>
      <c r="I5" s="495"/>
      <c r="J5" s="495"/>
      <c r="K5" s="495"/>
    </row>
    <row r="6" spans="1:13" ht="18">
      <c r="A6" s="495"/>
      <c r="B6" s="495" t="s">
        <v>1120</v>
      </c>
      <c r="C6" s="495"/>
      <c r="D6" s="498">
        <v>-6000</v>
      </c>
      <c r="E6" s="495"/>
      <c r="F6" s="495"/>
      <c r="G6" s="495"/>
      <c r="H6" s="495"/>
      <c r="I6" s="495"/>
      <c r="J6" s="495"/>
      <c r="K6" s="495"/>
    </row>
    <row r="7" spans="1:13" ht="18">
      <c r="A7" s="495"/>
      <c r="B7" s="495" t="s">
        <v>74</v>
      </c>
      <c r="C7" s="495"/>
      <c r="D7" s="499">
        <v>-500</v>
      </c>
      <c r="E7" s="495"/>
      <c r="F7" s="495"/>
      <c r="G7" s="495"/>
      <c r="H7" s="495"/>
      <c r="I7" s="495"/>
      <c r="J7" s="495"/>
      <c r="K7" s="495"/>
    </row>
    <row r="8" spans="1:13" ht="18">
      <c r="A8" s="495"/>
      <c r="B8" s="495" t="s">
        <v>337</v>
      </c>
      <c r="C8" s="495"/>
      <c r="D8" s="498">
        <f>SUM(D5:D7)</f>
        <v>3500</v>
      </c>
      <c r="E8" s="495"/>
      <c r="F8" s="495"/>
      <c r="G8" s="495"/>
      <c r="H8" s="495"/>
      <c r="I8" s="495"/>
      <c r="J8" s="495"/>
      <c r="K8" s="495"/>
    </row>
    <row r="9" spans="1:13" ht="18">
      <c r="A9" s="495"/>
      <c r="B9" s="495" t="s">
        <v>124</v>
      </c>
      <c r="C9" s="495"/>
      <c r="D9" s="499">
        <v>-1000</v>
      </c>
      <c r="E9" s="495"/>
      <c r="F9" s="517" t="s">
        <v>386</v>
      </c>
      <c r="G9" s="518">
        <f>-D9/D8</f>
        <v>0.2857142857142857</v>
      </c>
      <c r="J9" s="495"/>
      <c r="K9" s="495"/>
    </row>
    <row r="10" spans="1:13" ht="18">
      <c r="A10" s="495"/>
      <c r="B10" s="501" t="s">
        <v>458</v>
      </c>
      <c r="C10" s="495"/>
      <c r="D10" s="502">
        <f>SUM(D8:D9)</f>
        <v>2500</v>
      </c>
      <c r="E10" s="495"/>
      <c r="F10" s="495"/>
      <c r="G10" s="495"/>
      <c r="H10" s="495"/>
      <c r="I10" s="495"/>
      <c r="J10" s="495"/>
      <c r="K10" s="495"/>
    </row>
    <row r="11" spans="1:13" ht="18">
      <c r="A11" s="495"/>
      <c r="B11" s="495"/>
      <c r="C11" s="495"/>
      <c r="D11" s="498"/>
      <c r="E11" s="495"/>
      <c r="F11" s="495"/>
      <c r="G11" s="495"/>
      <c r="H11" s="495"/>
      <c r="I11" s="495"/>
      <c r="J11" s="495"/>
      <c r="K11" s="495"/>
    </row>
    <row r="12" spans="1:13" ht="18">
      <c r="A12" s="495"/>
      <c r="B12" s="495" t="s">
        <v>1121</v>
      </c>
      <c r="C12" s="495"/>
      <c r="D12" s="512">
        <v>2000</v>
      </c>
      <c r="E12" s="495"/>
      <c r="F12" s="498"/>
      <c r="G12" s="500"/>
      <c r="H12" s="498"/>
      <c r="I12" s="495" t="s">
        <v>1122</v>
      </c>
      <c r="J12" s="503">
        <f>D10/F17</f>
        <v>0.125</v>
      </c>
      <c r="K12" s="495"/>
    </row>
    <row r="13" spans="1:13" ht="18.75" thickBot="1">
      <c r="A13" s="495"/>
      <c r="B13" s="501" t="s">
        <v>534</v>
      </c>
      <c r="C13" s="495"/>
      <c r="D13" s="504">
        <f>D10-D12</f>
        <v>500</v>
      </c>
      <c r="E13" s="495"/>
      <c r="F13" s="498"/>
      <c r="G13" s="495"/>
      <c r="H13" s="498"/>
      <c r="I13" s="495" t="s">
        <v>675</v>
      </c>
      <c r="J13" s="505">
        <f>G17</f>
        <v>0.1</v>
      </c>
      <c r="K13" s="495"/>
    </row>
    <row r="14" spans="1:13" ht="18.75" thickTop="1">
      <c r="A14" s="495"/>
      <c r="B14" s="495"/>
      <c r="C14" s="495"/>
      <c r="D14" s="498"/>
      <c r="E14" s="495"/>
      <c r="F14" s="498"/>
      <c r="G14" s="495"/>
      <c r="H14" s="498"/>
      <c r="I14" s="495" t="s">
        <v>1123</v>
      </c>
      <c r="J14" s="516">
        <f>J12-J13</f>
        <v>2.4999999999999994E-2</v>
      </c>
      <c r="K14" s="495"/>
      <c r="M14" s="24">
        <f>D13/D5</f>
        <v>0.05</v>
      </c>
    </row>
    <row r="15" spans="1:13" ht="18">
      <c r="A15" s="495"/>
      <c r="B15" s="495" t="s">
        <v>1124</v>
      </c>
      <c r="C15" s="495"/>
      <c r="D15" s="498">
        <f>H15</f>
        <v>700.00000000000011</v>
      </c>
      <c r="E15" s="495" t="s">
        <v>338</v>
      </c>
      <c r="F15" s="498">
        <v>10000</v>
      </c>
      <c r="G15" s="506">
        <v>7.0000000000000007E-2</v>
      </c>
      <c r="H15" s="498">
        <f>F15*G15</f>
        <v>700.00000000000011</v>
      </c>
      <c r="I15" s="495"/>
      <c r="J15" s="495"/>
      <c r="K15" s="495"/>
    </row>
    <row r="16" spans="1:13" ht="18">
      <c r="A16" s="495"/>
      <c r="B16" s="495" t="s">
        <v>1125</v>
      </c>
      <c r="C16" s="495"/>
      <c r="D16" s="498">
        <f>H16</f>
        <v>1300</v>
      </c>
      <c r="E16" s="495" t="s">
        <v>189</v>
      </c>
      <c r="F16" s="498">
        <v>10000</v>
      </c>
      <c r="G16" s="507">
        <f>H16/F16</f>
        <v>0.13</v>
      </c>
      <c r="H16" s="498">
        <f>H17-H15</f>
        <v>1300</v>
      </c>
      <c r="I16" s="495"/>
      <c r="J16" s="495"/>
      <c r="K16" s="495"/>
    </row>
    <row r="17" spans="1:11" ht="18.75" thickBot="1">
      <c r="A17" s="495"/>
      <c r="B17" s="495"/>
      <c r="C17" s="495"/>
      <c r="D17" s="513">
        <f>SUM(D15:D16)</f>
        <v>2000</v>
      </c>
      <c r="E17" s="501" t="s">
        <v>396</v>
      </c>
      <c r="F17" s="504">
        <f>SUM(F15:F16)</f>
        <v>20000</v>
      </c>
      <c r="G17" s="509">
        <f>((G15*F15)+(F16*G16))/F17</f>
        <v>0.1</v>
      </c>
      <c r="H17" s="513">
        <f>D12</f>
        <v>2000</v>
      </c>
      <c r="I17" s="495"/>
      <c r="J17" s="495"/>
      <c r="K17" s="495"/>
    </row>
    <row r="18" spans="1:11" ht="18.75" thickTop="1">
      <c r="A18" s="495"/>
      <c r="B18" s="495"/>
      <c r="C18" s="495"/>
      <c r="D18" s="495"/>
      <c r="E18" s="495"/>
      <c r="F18" s="498"/>
      <c r="G18" s="514"/>
      <c r="H18" s="498"/>
      <c r="I18" s="495"/>
      <c r="J18" s="495"/>
      <c r="K18" s="495"/>
    </row>
    <row r="19" spans="1:11" ht="18">
      <c r="A19" s="495"/>
      <c r="B19" s="495"/>
      <c r="C19" s="495"/>
      <c r="D19" s="495"/>
      <c r="E19" s="495"/>
      <c r="F19" s="498"/>
      <c r="G19" s="514"/>
      <c r="H19" s="498"/>
      <c r="I19" s="495"/>
      <c r="J19" s="495"/>
      <c r="K19" s="495"/>
    </row>
    <row r="20" spans="1:11" ht="18">
      <c r="A20" s="515" t="s">
        <v>126</v>
      </c>
      <c r="B20" s="496" t="s">
        <v>1126</v>
      </c>
      <c r="C20" s="497"/>
      <c r="D20" s="497"/>
      <c r="E20" s="497"/>
      <c r="F20" s="497"/>
      <c r="G20" s="497"/>
      <c r="H20" s="497"/>
      <c r="I20" s="497"/>
      <c r="J20" s="497"/>
      <c r="K20" s="495"/>
    </row>
    <row r="21" spans="1:11" ht="18">
      <c r="A21" s="514"/>
      <c r="B21" s="501"/>
      <c r="C21" s="495"/>
      <c r="D21" s="495"/>
      <c r="E21" s="495"/>
      <c r="F21" s="495"/>
      <c r="G21" s="495"/>
      <c r="H21" s="495"/>
      <c r="I21" s="495"/>
      <c r="J21" s="495"/>
      <c r="K21" s="495"/>
    </row>
    <row r="22" spans="1:11" ht="18">
      <c r="A22" s="495"/>
      <c r="B22" s="495" t="s">
        <v>337</v>
      </c>
      <c r="C22" s="495"/>
      <c r="D22" s="510">
        <f>D8</f>
        <v>3500</v>
      </c>
      <c r="E22" s="495"/>
      <c r="F22" s="495" t="s">
        <v>1127</v>
      </c>
      <c r="G22" s="495"/>
      <c r="H22" s="495"/>
      <c r="I22" s="500">
        <f>D26/F16</f>
        <v>0.18</v>
      </c>
      <c r="J22" s="495"/>
      <c r="K22" s="495"/>
    </row>
    <row r="23" spans="1:11" ht="18">
      <c r="A23" s="495"/>
      <c r="B23" s="495" t="s">
        <v>384</v>
      </c>
      <c r="C23" s="495"/>
      <c r="D23" s="499">
        <f>-D15/(1-G9)</f>
        <v>-980.00000000000011</v>
      </c>
      <c r="E23" s="498"/>
      <c r="F23" s="511"/>
      <c r="G23" s="498"/>
      <c r="H23" s="498"/>
      <c r="I23" s="495"/>
      <c r="J23" s="495"/>
      <c r="K23" s="495"/>
    </row>
    <row r="24" spans="1:11" ht="18">
      <c r="A24" s="495"/>
      <c r="B24" s="495" t="s">
        <v>1128</v>
      </c>
      <c r="C24" s="495"/>
      <c r="D24" s="498">
        <f>SUM(D22:D23)</f>
        <v>2520</v>
      </c>
      <c r="E24" s="498"/>
      <c r="F24" s="495" t="s">
        <v>1129</v>
      </c>
      <c r="G24" s="498"/>
      <c r="H24" s="498"/>
      <c r="I24" s="500">
        <f>D26/F17</f>
        <v>0.09</v>
      </c>
      <c r="J24" s="495"/>
      <c r="K24" s="495"/>
    </row>
    <row r="25" spans="1:11" ht="18">
      <c r="A25" s="495"/>
      <c r="B25" s="495" t="s">
        <v>703</v>
      </c>
      <c r="C25" s="495"/>
      <c r="D25" s="498">
        <f>-G9*D24</f>
        <v>-720</v>
      </c>
      <c r="E25" s="498"/>
      <c r="F25" s="498"/>
      <c r="G25" s="498"/>
      <c r="H25" s="498"/>
      <c r="I25" s="495"/>
      <c r="J25" s="495"/>
      <c r="K25" s="495"/>
    </row>
    <row r="26" spans="1:11" ht="18.75" thickBot="1">
      <c r="A26" s="495"/>
      <c r="B26" s="495" t="s">
        <v>1130</v>
      </c>
      <c r="C26" s="495"/>
      <c r="D26" s="508">
        <f>SUM(D24:D25)</f>
        <v>1800</v>
      </c>
      <c r="E26" s="498"/>
      <c r="F26" s="498" t="s">
        <v>1131</v>
      </c>
      <c r="G26" s="498"/>
      <c r="H26" s="498"/>
      <c r="I26" s="519"/>
      <c r="J26" s="495"/>
      <c r="K26" s="495"/>
    </row>
    <row r="27" spans="1:11" ht="18.75" thickTop="1">
      <c r="A27" s="495"/>
      <c r="B27" s="497"/>
      <c r="C27" s="497"/>
      <c r="D27" s="499"/>
      <c r="E27" s="499"/>
      <c r="F27" s="499"/>
      <c r="G27" s="499"/>
      <c r="H27" s="499"/>
      <c r="I27" s="497"/>
      <c r="J27" s="497"/>
      <c r="K27" s="495"/>
    </row>
    <row r="28" spans="1:11" ht="18">
      <c r="A28" s="495"/>
      <c r="B28" s="495"/>
      <c r="C28" s="495"/>
      <c r="D28" s="498"/>
      <c r="E28" s="498"/>
      <c r="F28" s="498"/>
      <c r="G28" s="498"/>
      <c r="H28" s="498"/>
      <c r="I28" s="495"/>
      <c r="J28" s="495"/>
      <c r="K28" s="495"/>
    </row>
    <row r="29" spans="1:11">
      <c r="D29" s="9"/>
      <c r="E29" s="9"/>
      <c r="F29" s="9"/>
      <c r="G29" s="9"/>
      <c r="H29" s="9"/>
    </row>
    <row r="30" spans="1:11">
      <c r="E30" s="9"/>
      <c r="F30" s="9"/>
      <c r="G30" s="9"/>
      <c r="H30" s="9"/>
    </row>
    <row r="31" spans="1:11">
      <c r="E31" s="9"/>
      <c r="F31" s="9"/>
      <c r="G31" s="9"/>
      <c r="H31" s="9"/>
    </row>
    <row r="32" spans="1:11">
      <c r="E32" s="9"/>
      <c r="F32" s="9"/>
      <c r="G32" s="9"/>
      <c r="H32" s="9"/>
    </row>
    <row r="33" spans="5:8">
      <c r="E33" s="9"/>
      <c r="F33" s="9"/>
      <c r="G33" s="9"/>
      <c r="H33" s="9"/>
    </row>
  </sheetData>
  <customSheetViews>
    <customSheetView guid="{5826E3E6-173D-429F-ABE1-D868EE9E034B}" scale="121" topLeftCell="D1">
      <selection activeCell="L27" sqref="L27"/>
      <pageMargins left="0" right="0" top="0" bottom="0" header="0" footer="0"/>
      <pageSetup paperSize="9" orientation="landscape" horizontalDpi="0" verticalDpi="0" r:id="rId1"/>
    </customSheetView>
  </customSheetViews>
  <mergeCells count="1">
    <mergeCell ref="A1:B1"/>
  </mergeCells>
  <pageMargins left="0.7" right="0.7" top="0.75" bottom="0.75" header="0.3" footer="0.3"/>
  <pageSetup paperSize="9" orientation="landscape" horizontalDpi="0" verticalDpi="0"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M35"/>
  <sheetViews>
    <sheetView workbookViewId="0"/>
  </sheetViews>
  <sheetFormatPr defaultRowHeight="12.75"/>
  <cols>
    <col min="1" max="1" width="3" customWidth="1"/>
    <col min="2" max="2" width="6" customWidth="1"/>
    <col min="3" max="3" width="31.5703125" customWidth="1"/>
    <col min="13" max="13" width="13.5703125" style="16" bestFit="1" customWidth="1"/>
  </cols>
  <sheetData>
    <row r="3" spans="2:3" customFormat="1"/>
    <row r="5" spans="2:3">
      <c r="C5" s="30" t="s">
        <v>1132</v>
      </c>
    </row>
    <row r="6" spans="2:3">
      <c r="C6" s="75"/>
    </row>
    <row r="7" spans="2:3">
      <c r="C7" s="39">
        <v>42352</v>
      </c>
    </row>
    <row r="8" spans="2:3">
      <c r="C8" t="s">
        <v>1133</v>
      </c>
    </row>
    <row r="10" spans="2:3">
      <c r="C10" s="1" t="s">
        <v>1134</v>
      </c>
    </row>
    <row r="11" spans="2:3" customFormat="1">
      <c r="B11" s="4"/>
      <c r="C11" s="4"/>
    </row>
    <row r="12" spans="2:3" customFormat="1">
      <c r="B12" s="3" t="s">
        <v>413</v>
      </c>
      <c r="C12" t="s">
        <v>1135</v>
      </c>
    </row>
    <row r="13" spans="2:3" customFormat="1">
      <c r="B13" s="3" t="s">
        <v>423</v>
      </c>
      <c r="C13" t="s">
        <v>1136</v>
      </c>
    </row>
    <row r="14" spans="2:3" customFormat="1">
      <c r="B14" s="3"/>
    </row>
    <row r="15" spans="2:3">
      <c r="B15" s="4"/>
      <c r="C15" s="4"/>
    </row>
    <row r="16" spans="2:3">
      <c r="B16">
        <v>1</v>
      </c>
      <c r="C16" t="s">
        <v>1137</v>
      </c>
    </row>
    <row r="17" spans="2:3">
      <c r="B17">
        <f t="shared" ref="B17:B34" si="0">B16+1</f>
        <v>2</v>
      </c>
      <c r="C17" t="s">
        <v>1138</v>
      </c>
    </row>
    <row r="18" spans="2:3">
      <c r="B18">
        <f t="shared" si="0"/>
        <v>3</v>
      </c>
      <c r="C18" t="s">
        <v>1139</v>
      </c>
    </row>
    <row r="19" spans="2:3">
      <c r="B19">
        <f t="shared" si="0"/>
        <v>4</v>
      </c>
      <c r="C19" t="s">
        <v>1140</v>
      </c>
    </row>
    <row r="20" spans="2:3">
      <c r="B20">
        <f t="shared" si="0"/>
        <v>5</v>
      </c>
      <c r="C20" t="s">
        <v>1141</v>
      </c>
    </row>
    <row r="21" spans="2:3">
      <c r="B21">
        <f t="shared" si="0"/>
        <v>6</v>
      </c>
      <c r="C21" t="s">
        <v>1142</v>
      </c>
    </row>
    <row r="22" spans="2:3">
      <c r="B22">
        <f t="shared" si="0"/>
        <v>7</v>
      </c>
      <c r="C22" t="s">
        <v>1143</v>
      </c>
    </row>
    <row r="23" spans="2:3">
      <c r="B23">
        <f t="shared" si="0"/>
        <v>8</v>
      </c>
      <c r="C23" t="s">
        <v>1144</v>
      </c>
    </row>
    <row r="24" spans="2:3">
      <c r="B24">
        <f t="shared" si="0"/>
        <v>9</v>
      </c>
      <c r="C24" t="s">
        <v>1145</v>
      </c>
    </row>
    <row r="25" spans="2:3">
      <c r="B25">
        <f t="shared" si="0"/>
        <v>10</v>
      </c>
      <c r="C25" t="s">
        <v>1146</v>
      </c>
    </row>
    <row r="26" spans="2:3">
      <c r="B26">
        <f t="shared" si="0"/>
        <v>11</v>
      </c>
      <c r="C26" t="s">
        <v>1147</v>
      </c>
    </row>
    <row r="27" spans="2:3">
      <c r="B27">
        <f t="shared" si="0"/>
        <v>12</v>
      </c>
      <c r="C27" t="s">
        <v>1148</v>
      </c>
    </row>
    <row r="28" spans="2:3">
      <c r="B28">
        <f t="shared" si="0"/>
        <v>13</v>
      </c>
      <c r="C28" t="s">
        <v>1149</v>
      </c>
    </row>
    <row r="29" spans="2:3">
      <c r="B29">
        <f t="shared" si="0"/>
        <v>14</v>
      </c>
      <c r="C29" t="s">
        <v>1150</v>
      </c>
    </row>
    <row r="30" spans="2:3">
      <c r="B30">
        <f t="shared" si="0"/>
        <v>15</v>
      </c>
      <c r="C30" t="s">
        <v>1151</v>
      </c>
    </row>
    <row r="31" spans="2:3">
      <c r="B31">
        <f t="shared" si="0"/>
        <v>16</v>
      </c>
      <c r="C31" t="s">
        <v>1152</v>
      </c>
    </row>
    <row r="32" spans="2:3">
      <c r="B32">
        <f t="shared" si="0"/>
        <v>17</v>
      </c>
      <c r="C32" t="s">
        <v>1153</v>
      </c>
    </row>
    <row r="33" spans="2:3">
      <c r="B33">
        <f t="shared" si="0"/>
        <v>18</v>
      </c>
      <c r="C33" t="s">
        <v>1154</v>
      </c>
    </row>
    <row r="34" spans="2:3">
      <c r="B34">
        <f t="shared" si="0"/>
        <v>19</v>
      </c>
      <c r="C34" t="s">
        <v>1155</v>
      </c>
    </row>
    <row r="35" spans="2:3">
      <c r="B35" s="4"/>
      <c r="C35" s="4"/>
    </row>
  </sheetData>
  <customSheetViews>
    <customSheetView guid="{5826E3E6-173D-429F-ABE1-D868EE9E034B}" fitToPage="1" topLeftCell="A7">
      <selection activeCell="J23" sqref="J22:J23"/>
      <pageMargins left="0" right="0" top="0" bottom="0" header="0" footer="0"/>
      <pageSetup paperSize="9" orientation="portrait" horizontalDpi="0" verticalDpi="0" r:id="rId1"/>
    </customSheetView>
  </customSheetViews>
  <pageMargins left="0.7" right="0.7" top="0.75" bottom="0.75" header="0.3" footer="0.3"/>
  <pageSetup paperSize="9" orientation="portrait"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AH147"/>
  <sheetViews>
    <sheetView zoomScaleNormal="100" workbookViewId="0"/>
  </sheetViews>
  <sheetFormatPr defaultRowHeight="12.75"/>
  <cols>
    <col min="1" max="1" width="4.85546875" customWidth="1"/>
    <col min="2" max="2" width="3" customWidth="1"/>
    <col min="3" max="3" width="22.5703125" customWidth="1"/>
    <col min="4" max="4" width="0" hidden="1" customWidth="1"/>
    <col min="5" max="5" width="4.5703125" customWidth="1"/>
    <col min="6" max="15" width="8.85546875" hidden="1" customWidth="1"/>
    <col min="16" max="16" width="9.85546875" hidden="1" customWidth="1"/>
    <col min="17" max="17" width="8.85546875" hidden="1" customWidth="1"/>
    <col min="18" max="18" width="8.85546875" customWidth="1"/>
    <col min="19" max="28" width="9.42578125" customWidth="1"/>
  </cols>
  <sheetData>
    <row r="1" spans="1:29" ht="22.5" customHeight="1">
      <c r="A1" s="1167" t="s">
        <v>0</v>
      </c>
      <c r="B1" s="1167"/>
      <c r="C1" s="1167"/>
      <c r="D1" s="981"/>
      <c r="E1" s="1497"/>
      <c r="F1" s="1498"/>
      <c r="G1" s="1498"/>
      <c r="H1" s="1498"/>
      <c r="I1" s="1498"/>
      <c r="J1" s="1498"/>
      <c r="K1" s="1498"/>
      <c r="L1" s="1498"/>
      <c r="M1" s="1498"/>
      <c r="N1" s="1498"/>
      <c r="O1" s="1498"/>
      <c r="P1" s="1498"/>
      <c r="Q1" s="1498"/>
      <c r="R1" s="1498"/>
      <c r="S1" s="1498"/>
      <c r="T1" s="1490"/>
      <c r="U1" s="1490"/>
      <c r="W1" s="1561" t="s">
        <v>312</v>
      </c>
      <c r="X1" s="1562"/>
      <c r="Y1" s="1562"/>
      <c r="Z1" s="1562"/>
      <c r="AA1" s="1563"/>
      <c r="AB1" s="1084">
        <v>4</v>
      </c>
    </row>
    <row r="2" spans="1:29" ht="15.75">
      <c r="A2" s="630" t="s">
        <v>129</v>
      </c>
      <c r="B2" s="520"/>
      <c r="C2" s="520"/>
      <c r="D2" s="1003"/>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c r="AC2" s="34"/>
    </row>
    <row r="3" spans="1:29">
      <c r="A3" s="1505" t="s">
        <v>1348</v>
      </c>
      <c r="B3" s="1505"/>
      <c r="C3" s="1505"/>
      <c r="D3" s="1276" t="s">
        <v>43</v>
      </c>
      <c r="E3" s="1276" t="s">
        <v>44</v>
      </c>
      <c r="F3" s="980">
        <v>1999</v>
      </c>
      <c r="G3" s="980">
        <v>2000</v>
      </c>
      <c r="H3" s="980">
        <v>2001</v>
      </c>
      <c r="I3" s="980">
        <v>2002</v>
      </c>
      <c r="J3" s="980">
        <v>2003</v>
      </c>
      <c r="K3" s="980">
        <v>2004</v>
      </c>
      <c r="L3" s="980">
        <v>2005</v>
      </c>
      <c r="M3" s="980">
        <v>2006</v>
      </c>
      <c r="N3" s="980">
        <v>2007</v>
      </c>
      <c r="O3" s="980">
        <v>2008</v>
      </c>
      <c r="P3" s="980">
        <v>2009</v>
      </c>
      <c r="Q3" s="980">
        <v>2010</v>
      </c>
      <c r="R3" s="980">
        <v>2011</v>
      </c>
      <c r="S3" s="980">
        <v>2012</v>
      </c>
      <c r="T3" s="980">
        <v>2013</v>
      </c>
      <c r="U3" s="980">
        <v>2014</v>
      </c>
      <c r="V3" s="980">
        <v>2015</v>
      </c>
      <c r="W3" s="980">
        <v>2016</v>
      </c>
      <c r="X3" s="980">
        <v>2017</v>
      </c>
      <c r="Y3" s="980">
        <v>2018</v>
      </c>
      <c r="Z3" s="980">
        <v>2019</v>
      </c>
      <c r="AA3" s="980">
        <v>2020</v>
      </c>
      <c r="AB3" s="980">
        <v>2021</v>
      </c>
      <c r="AC3" s="34"/>
    </row>
    <row r="4" spans="1:29">
      <c r="A4" s="13" t="s">
        <v>45</v>
      </c>
      <c r="B4" s="1262"/>
      <c r="C4" s="1364"/>
      <c r="D4" s="1111"/>
      <c r="E4" s="1121"/>
      <c r="F4" s="631" t="s">
        <v>46</v>
      </c>
      <c r="G4" s="631"/>
      <c r="H4" s="631"/>
      <c r="I4" s="631"/>
      <c r="J4" s="631"/>
      <c r="K4" s="631"/>
      <c r="L4" s="760"/>
      <c r="M4" s="631"/>
      <c r="N4" s="631"/>
      <c r="O4" s="631"/>
      <c r="P4" s="631"/>
      <c r="Q4" s="631"/>
      <c r="R4" s="631"/>
      <c r="S4" s="631"/>
      <c r="T4" s="631"/>
      <c r="U4" s="631"/>
      <c r="V4" s="631"/>
      <c r="W4" s="631"/>
      <c r="X4" s="631"/>
      <c r="Y4" s="631"/>
      <c r="Z4" s="631"/>
      <c r="AA4" s="616"/>
      <c r="AB4" s="1206"/>
      <c r="AC4" s="34"/>
    </row>
    <row r="5" spans="1:29">
      <c r="A5" s="1120">
        <v>10</v>
      </c>
      <c r="B5" s="1111" t="s">
        <v>47</v>
      </c>
      <c r="C5" s="1111"/>
      <c r="D5" s="616"/>
      <c r="E5" s="9"/>
      <c r="F5" s="616" t="e">
        <v>#REF!</v>
      </c>
      <c r="G5" s="616" t="e">
        <v>#REF!</v>
      </c>
      <c r="H5" s="616" t="e">
        <v>#REF!</v>
      </c>
      <c r="I5" s="616" t="e">
        <v>#REF!</v>
      </c>
      <c r="J5" s="616" t="e">
        <v>#REF!</v>
      </c>
      <c r="K5" s="616" t="e">
        <v>#REF!</v>
      </c>
      <c r="L5" s="616" t="e">
        <v>#REF!</v>
      </c>
      <c r="M5" s="616" t="e">
        <v>#REF!</v>
      </c>
      <c r="N5" s="616" t="e">
        <v>#REF!</v>
      </c>
      <c r="O5" s="616" t="e">
        <v>#REF!</v>
      </c>
      <c r="P5" s="616" t="e">
        <v>#REF!</v>
      </c>
      <c r="Q5" s="616" t="e">
        <v>#REF!</v>
      </c>
      <c r="R5" s="616"/>
      <c r="S5" s="616"/>
      <c r="T5" s="616"/>
      <c r="U5" s="616"/>
      <c r="V5" s="616">
        <v>951000</v>
      </c>
      <c r="W5" s="616">
        <v>903000</v>
      </c>
      <c r="X5" s="616">
        <v>891000</v>
      </c>
      <c r="Y5" s="616">
        <v>883000</v>
      </c>
      <c r="Z5" s="616">
        <v>862000</v>
      </c>
      <c r="AA5" s="616">
        <v>860000</v>
      </c>
      <c r="AB5" s="616">
        <v>838000</v>
      </c>
      <c r="AC5" s="34"/>
    </row>
    <row r="6" spans="1:29">
      <c r="A6" s="1120">
        <v>10</v>
      </c>
      <c r="B6" s="1111" t="s">
        <v>48</v>
      </c>
      <c r="C6" s="1111"/>
      <c r="D6" s="616"/>
      <c r="E6" s="9"/>
      <c r="F6" s="616" t="e">
        <v>#REF!</v>
      </c>
      <c r="G6" s="616" t="e">
        <v>#REF!</v>
      </c>
      <c r="H6" s="616" t="e">
        <v>#REF!</v>
      </c>
      <c r="I6" s="616" t="e">
        <v>#REF!</v>
      </c>
      <c r="J6" s="616" t="e">
        <v>#REF!</v>
      </c>
      <c r="K6" s="616" t="e">
        <v>#REF!</v>
      </c>
      <c r="L6" s="616" t="e">
        <v>#REF!</v>
      </c>
      <c r="M6" s="616" t="e">
        <v>#REF!</v>
      </c>
      <c r="N6" s="616" t="e">
        <v>#REF!</v>
      </c>
      <c r="O6" s="616" t="e">
        <v>#REF!</v>
      </c>
      <c r="P6" s="616" t="e">
        <v>#REF!</v>
      </c>
      <c r="Q6" s="616" t="e">
        <v>#REF!</v>
      </c>
      <c r="R6" s="616"/>
      <c r="S6" s="616"/>
      <c r="T6" s="616"/>
      <c r="U6" s="616"/>
      <c r="V6" s="616"/>
      <c r="W6" s="616"/>
      <c r="X6" s="616"/>
      <c r="Y6" s="616">
        <v>432000</v>
      </c>
      <c r="Z6" s="616">
        <v>388000</v>
      </c>
      <c r="AA6" s="616">
        <v>275000</v>
      </c>
      <c r="AB6" s="616">
        <v>249000</v>
      </c>
      <c r="AC6" s="34"/>
    </row>
    <row r="7" spans="1:29">
      <c r="A7" s="1120">
        <v>10</v>
      </c>
      <c r="B7" s="1111" t="s">
        <v>49</v>
      </c>
      <c r="C7" s="1111"/>
      <c r="D7" s="616"/>
      <c r="E7" s="9"/>
      <c r="F7" s="616" t="e">
        <v>#REF!</v>
      </c>
      <c r="G7" s="616" t="e">
        <v>#REF!</v>
      </c>
      <c r="H7" s="616" t="e">
        <v>#REF!</v>
      </c>
      <c r="I7" s="616" t="e">
        <v>#REF!</v>
      </c>
      <c r="J7" s="616" t="e">
        <v>#REF!</v>
      </c>
      <c r="K7" s="616" t="e">
        <v>#REF!</v>
      </c>
      <c r="L7" s="616" t="e">
        <v>#REF!</v>
      </c>
      <c r="M7" s="616" t="e">
        <v>#REF!</v>
      </c>
      <c r="N7" s="616" t="e">
        <v>#REF!</v>
      </c>
      <c r="O7" s="616" t="e">
        <v>#REF!</v>
      </c>
      <c r="P7" s="616" t="e">
        <v>#REF!</v>
      </c>
      <c r="Q7" s="616" t="e">
        <v>#REF!</v>
      </c>
      <c r="R7" s="616"/>
      <c r="S7" s="616"/>
      <c r="T7" s="616"/>
      <c r="U7" s="616"/>
      <c r="V7" s="616"/>
      <c r="W7" s="616"/>
      <c r="X7" s="616"/>
      <c r="Y7" s="616">
        <v>20000</v>
      </c>
      <c r="Z7" s="616">
        <v>31000</v>
      </c>
      <c r="AA7" s="616">
        <v>16000</v>
      </c>
      <c r="AB7" s="616">
        <v>44000</v>
      </c>
      <c r="AC7" s="34"/>
    </row>
    <row r="8" spans="1:29">
      <c r="A8" s="1120">
        <v>10</v>
      </c>
      <c r="B8" s="1111" t="s">
        <v>1190</v>
      </c>
      <c r="C8" s="1111"/>
      <c r="D8" s="616"/>
      <c r="E8" s="9"/>
      <c r="F8" s="616"/>
      <c r="G8" s="616"/>
      <c r="H8" s="616"/>
      <c r="I8" s="616"/>
      <c r="J8" s="616"/>
      <c r="K8" s="616"/>
      <c r="L8" s="616"/>
      <c r="M8" s="616"/>
      <c r="N8" s="616"/>
      <c r="O8" s="616"/>
      <c r="P8" s="616"/>
      <c r="Q8" s="616"/>
      <c r="R8" s="616"/>
      <c r="S8" s="616"/>
      <c r="T8" s="616"/>
      <c r="U8" s="616"/>
      <c r="V8" s="616">
        <v>563000</v>
      </c>
      <c r="W8" s="616">
        <v>501000</v>
      </c>
      <c r="X8" s="616">
        <v>473000</v>
      </c>
      <c r="Y8" s="616"/>
      <c r="Z8" s="616"/>
      <c r="AA8" s="616"/>
      <c r="AB8" s="616"/>
      <c r="AC8" s="34"/>
    </row>
    <row r="9" spans="1:29">
      <c r="A9" s="1120">
        <v>10</v>
      </c>
      <c r="B9" s="1111" t="s">
        <v>50</v>
      </c>
      <c r="C9" s="1111"/>
      <c r="D9" s="616"/>
      <c r="E9" s="616"/>
      <c r="F9" s="616"/>
      <c r="G9" s="616"/>
      <c r="H9" s="616"/>
      <c r="I9" s="616"/>
      <c r="J9" s="616"/>
      <c r="K9" s="616"/>
      <c r="L9" s="616"/>
      <c r="M9" s="616"/>
      <c r="N9" s="616">
        <v>0</v>
      </c>
      <c r="O9" s="616">
        <v>0</v>
      </c>
      <c r="P9" s="616">
        <v>0</v>
      </c>
      <c r="Q9" s="616">
        <v>0</v>
      </c>
      <c r="R9" s="616"/>
      <c r="S9" s="616">
        <v>963000</v>
      </c>
      <c r="T9" s="616">
        <v>742000</v>
      </c>
      <c r="U9" s="616">
        <v>641000</v>
      </c>
      <c r="V9" s="616">
        <v>693000</v>
      </c>
      <c r="W9" s="616">
        <v>543000</v>
      </c>
      <c r="X9" s="616">
        <v>492000</v>
      </c>
      <c r="Y9" s="616">
        <v>705000</v>
      </c>
      <c r="Z9" s="616">
        <v>1044000</v>
      </c>
      <c r="AA9" s="616">
        <v>791000</v>
      </c>
      <c r="AB9" s="616">
        <v>1285000</v>
      </c>
      <c r="AC9" s="34"/>
    </row>
    <row r="10" spans="1:29">
      <c r="A10" s="1120">
        <v>10</v>
      </c>
      <c r="B10" s="34" t="s">
        <v>1195</v>
      </c>
      <c r="C10" s="34"/>
      <c r="D10" s="616"/>
      <c r="E10" s="616"/>
      <c r="F10" s="616"/>
      <c r="G10" s="616"/>
      <c r="H10" s="616"/>
      <c r="I10" s="616"/>
      <c r="J10" s="616"/>
      <c r="K10" s="616"/>
      <c r="L10" s="616"/>
      <c r="M10" s="616"/>
      <c r="N10" s="616"/>
      <c r="O10" s="616"/>
      <c r="P10" s="616"/>
      <c r="Q10" s="616"/>
      <c r="R10" s="616"/>
      <c r="S10" s="616">
        <v>1490000</v>
      </c>
      <c r="T10" s="616">
        <v>1532000</v>
      </c>
      <c r="U10" s="616">
        <v>1534000</v>
      </c>
      <c r="V10" s="616"/>
      <c r="W10" s="616"/>
      <c r="X10" s="616"/>
      <c r="Y10" s="616"/>
      <c r="Z10" s="616"/>
      <c r="AA10" s="616"/>
      <c r="AB10" s="616"/>
      <c r="AC10" s="34"/>
    </row>
    <row r="11" spans="1:29">
      <c r="A11" s="1120">
        <v>20</v>
      </c>
      <c r="B11" s="1111" t="s">
        <v>51</v>
      </c>
      <c r="C11" s="1111"/>
      <c r="D11" s="616"/>
      <c r="E11" s="9"/>
      <c r="F11" s="616"/>
      <c r="G11" s="616"/>
      <c r="H11" s="616"/>
      <c r="I11" s="616"/>
      <c r="J11" s="616"/>
      <c r="K11" s="616"/>
      <c r="L11" s="616"/>
      <c r="M11" s="616"/>
      <c r="N11" s="616"/>
      <c r="O11" s="616"/>
      <c r="P11" s="616"/>
      <c r="Q11" s="616"/>
      <c r="R11" s="616"/>
      <c r="S11" s="616"/>
      <c r="T11" s="616"/>
      <c r="U11" s="616"/>
      <c r="V11" s="616"/>
      <c r="W11" s="616"/>
      <c r="X11" s="616"/>
      <c r="Y11" s="616">
        <v>7000</v>
      </c>
      <c r="Z11" s="616">
        <v>10000</v>
      </c>
      <c r="AA11" s="616">
        <v>8000</v>
      </c>
      <c r="AB11" s="616">
        <v>8000</v>
      </c>
      <c r="AC11" s="34"/>
    </row>
    <row r="12" spans="1:29">
      <c r="A12" s="1120">
        <v>20</v>
      </c>
      <c r="B12" s="1111" t="s">
        <v>56</v>
      </c>
      <c r="C12" s="1121"/>
      <c r="D12" s="616"/>
      <c r="E12" s="9"/>
      <c r="F12" s="702" t="e">
        <v>#REF!</v>
      </c>
      <c r="G12" s="702" t="e">
        <v>#REF!</v>
      </c>
      <c r="H12" s="702" t="e">
        <v>#REF!</v>
      </c>
      <c r="I12" s="702" t="e">
        <v>#REF!</v>
      </c>
      <c r="J12" s="702" t="e">
        <v>#REF!</v>
      </c>
      <c r="K12" s="702" t="e">
        <v>#REF!</v>
      </c>
      <c r="L12" s="702" t="e">
        <v>#REF!</v>
      </c>
      <c r="M12" s="702" t="e">
        <v>#REF!</v>
      </c>
      <c r="N12" s="702" t="e">
        <v>#REF!</v>
      </c>
      <c r="O12" s="702" t="e">
        <v>#REF!</v>
      </c>
      <c r="P12" s="702" t="e">
        <v>#REF!</v>
      </c>
      <c r="Q12" s="702" t="e">
        <v>#REF!</v>
      </c>
      <c r="R12" s="616"/>
      <c r="S12" s="616">
        <v>18000</v>
      </c>
      <c r="T12" s="616">
        <v>22000</v>
      </c>
      <c r="U12" s="616">
        <v>52000</v>
      </c>
      <c r="V12" s="616">
        <v>16000</v>
      </c>
      <c r="W12" s="616">
        <v>11000</v>
      </c>
      <c r="X12" s="616">
        <v>12000</v>
      </c>
      <c r="Y12" s="616">
        <v>4000</v>
      </c>
      <c r="Z12" s="616">
        <v>15000</v>
      </c>
      <c r="AA12" s="616">
        <v>5000</v>
      </c>
      <c r="AB12" s="616">
        <v>10000</v>
      </c>
      <c r="AC12" s="34"/>
    </row>
    <row r="13" spans="1:29">
      <c r="A13" s="1120">
        <v>20</v>
      </c>
      <c r="B13" s="1111" t="s">
        <v>52</v>
      </c>
      <c r="C13" s="1111"/>
      <c r="D13" s="616"/>
      <c r="E13" s="616"/>
      <c r="F13" s="616"/>
      <c r="G13" s="616"/>
      <c r="H13" s="616"/>
      <c r="I13" s="616"/>
      <c r="J13" s="616"/>
      <c r="K13" s="616"/>
      <c r="L13" s="616"/>
      <c r="M13" s="616"/>
      <c r="N13" s="616"/>
      <c r="O13" s="616"/>
      <c r="P13" s="616"/>
      <c r="Q13" s="616"/>
      <c r="R13" s="616"/>
      <c r="S13" s="616">
        <v>92000</v>
      </c>
      <c r="T13" s="616">
        <v>92000</v>
      </c>
      <c r="U13" s="616">
        <v>83000</v>
      </c>
      <c r="V13" s="616">
        <v>81000</v>
      </c>
      <c r="W13" s="616">
        <v>63000</v>
      </c>
      <c r="X13" s="616">
        <v>66000</v>
      </c>
      <c r="Y13" s="616">
        <v>75000</v>
      </c>
      <c r="Z13" s="616">
        <v>76000</v>
      </c>
      <c r="AA13" s="616">
        <v>75000</v>
      </c>
      <c r="AB13" s="616">
        <v>76000</v>
      </c>
      <c r="AC13" s="34"/>
    </row>
    <row r="14" spans="1:29">
      <c r="A14" s="1120">
        <v>20</v>
      </c>
      <c r="B14" s="1111" t="s">
        <v>53</v>
      </c>
      <c r="C14" s="1111"/>
      <c r="D14" s="616"/>
      <c r="E14" s="616"/>
      <c r="F14" s="616"/>
      <c r="G14" s="616"/>
      <c r="H14" s="616"/>
      <c r="I14" s="616"/>
      <c r="J14" s="616"/>
      <c r="K14" s="616"/>
      <c r="L14" s="616"/>
      <c r="M14" s="616"/>
      <c r="N14" s="616"/>
      <c r="O14" s="616"/>
      <c r="P14" s="616"/>
      <c r="Q14" s="616"/>
      <c r="R14" s="616"/>
      <c r="S14" s="616">
        <v>20000</v>
      </c>
      <c r="T14" s="616">
        <v>19000</v>
      </c>
      <c r="U14" s="616">
        <v>20000</v>
      </c>
      <c r="V14" s="616">
        <v>21000</v>
      </c>
      <c r="W14" s="616">
        <v>26000</v>
      </c>
      <c r="X14" s="616">
        <v>25000</v>
      </c>
      <c r="Y14" s="616">
        <v>25000</v>
      </c>
      <c r="Z14" s="616">
        <v>27000</v>
      </c>
      <c r="AA14" s="616">
        <v>26000</v>
      </c>
      <c r="AB14" s="616">
        <v>28000</v>
      </c>
      <c r="AC14" s="34"/>
    </row>
    <row r="15" spans="1:29">
      <c r="A15" s="1120">
        <v>20</v>
      </c>
      <c r="B15" s="1111" t="s">
        <v>54</v>
      </c>
      <c r="C15" s="1111"/>
      <c r="D15" s="616"/>
      <c r="E15" s="616"/>
      <c r="F15" s="616"/>
      <c r="G15" s="616"/>
      <c r="H15" s="616"/>
      <c r="I15" s="616"/>
      <c r="J15" s="616"/>
      <c r="K15" s="616"/>
      <c r="L15" s="616"/>
      <c r="M15" s="616"/>
      <c r="N15" s="616"/>
      <c r="O15" s="616"/>
      <c r="P15" s="616"/>
      <c r="Q15" s="616"/>
      <c r="R15" s="616"/>
      <c r="S15" s="616"/>
      <c r="T15" s="616"/>
      <c r="U15" s="616"/>
      <c r="V15" s="616"/>
      <c r="W15" s="616"/>
      <c r="X15" s="616"/>
      <c r="Y15" s="616"/>
      <c r="Z15" s="616"/>
      <c r="AA15" s="616">
        <v>0</v>
      </c>
      <c r="AB15" s="616">
        <v>3000</v>
      </c>
      <c r="AC15" s="34"/>
    </row>
    <row r="16" spans="1:29">
      <c r="A16" s="1120">
        <v>20</v>
      </c>
      <c r="B16" s="1111" t="s">
        <v>55</v>
      </c>
      <c r="C16" s="1111"/>
      <c r="D16" s="616"/>
      <c r="E16" s="616"/>
      <c r="F16" s="616"/>
      <c r="G16" s="616"/>
      <c r="H16" s="616"/>
      <c r="I16" s="616"/>
      <c r="J16" s="616"/>
      <c r="K16" s="616"/>
      <c r="L16" s="616"/>
      <c r="M16" s="616"/>
      <c r="N16" s="616"/>
      <c r="O16" s="616"/>
      <c r="P16" s="616"/>
      <c r="Q16" s="616"/>
      <c r="R16" s="616"/>
      <c r="S16" s="616"/>
      <c r="T16" s="616"/>
      <c r="U16" s="616"/>
      <c r="V16" s="616"/>
      <c r="W16" s="616"/>
      <c r="X16" s="616"/>
      <c r="Y16" s="616">
        <v>1000</v>
      </c>
      <c r="Z16" s="616">
        <v>7000</v>
      </c>
      <c r="AA16" s="616">
        <v>17000</v>
      </c>
      <c r="AB16" s="616">
        <v>32000</v>
      </c>
      <c r="AC16" s="34"/>
    </row>
    <row r="17" spans="1:29">
      <c r="A17" s="1120">
        <v>20</v>
      </c>
      <c r="B17" s="1111" t="s">
        <v>1169</v>
      </c>
      <c r="C17" s="1111"/>
      <c r="D17" s="616"/>
      <c r="E17" s="616"/>
      <c r="F17" s="616"/>
      <c r="G17" s="616"/>
      <c r="H17" s="616"/>
      <c r="I17" s="616"/>
      <c r="J17" s="616"/>
      <c r="K17" s="616"/>
      <c r="L17" s="616"/>
      <c r="M17" s="616"/>
      <c r="N17" s="616"/>
      <c r="O17" s="616"/>
      <c r="P17" s="616"/>
      <c r="Q17" s="616"/>
      <c r="R17" s="702"/>
      <c r="S17" s="702">
        <v>118000</v>
      </c>
      <c r="T17" s="702">
        <v>119000</v>
      </c>
      <c r="U17" s="702">
        <v>116000</v>
      </c>
      <c r="V17" s="702">
        <v>118000</v>
      </c>
      <c r="W17" s="702">
        <v>117000</v>
      </c>
      <c r="X17" s="702">
        <v>0</v>
      </c>
      <c r="Y17" s="702">
        <v>0</v>
      </c>
      <c r="Z17" s="702">
        <v>0</v>
      </c>
      <c r="AA17" s="702">
        <v>0</v>
      </c>
      <c r="AB17" s="702">
        <v>0</v>
      </c>
      <c r="AC17" s="34"/>
    </row>
    <row r="18" spans="1:29">
      <c r="A18" s="1120"/>
      <c r="B18" s="722" t="s">
        <v>58</v>
      </c>
      <c r="C18" s="1111"/>
      <c r="D18" s="616"/>
      <c r="E18" s="616"/>
      <c r="F18" s="616"/>
      <c r="G18" s="616"/>
      <c r="H18" s="616"/>
      <c r="I18" s="616"/>
      <c r="J18" s="616"/>
      <c r="K18" s="616"/>
      <c r="L18" s="616"/>
      <c r="M18" s="616"/>
      <c r="N18" s="616"/>
      <c r="O18" s="616"/>
      <c r="P18" s="616"/>
      <c r="Q18" s="616"/>
      <c r="R18" s="616">
        <v>0</v>
      </c>
      <c r="S18" s="616">
        <v>2701000</v>
      </c>
      <c r="T18" s="616">
        <v>2526000</v>
      </c>
      <c r="U18" s="616">
        <v>2446000</v>
      </c>
      <c r="V18" s="616">
        <v>2443000</v>
      </c>
      <c r="W18" s="616">
        <v>2164000</v>
      </c>
      <c r="X18" s="616">
        <v>1959000</v>
      </c>
      <c r="Y18" s="616">
        <v>2152000</v>
      </c>
      <c r="Z18" s="616">
        <v>2460000</v>
      </c>
      <c r="AA18" s="616">
        <v>2073000</v>
      </c>
      <c r="AB18" s="616">
        <v>2573000</v>
      </c>
      <c r="AC18" s="34"/>
    </row>
    <row r="19" spans="1:29">
      <c r="A19" s="1120"/>
      <c r="B19" s="722"/>
      <c r="C19" s="1111"/>
      <c r="D19" s="616"/>
      <c r="E19" s="616"/>
      <c r="F19" s="616"/>
      <c r="G19" s="616"/>
      <c r="H19" s="616"/>
      <c r="I19" s="616"/>
      <c r="J19" s="616"/>
      <c r="K19" s="616"/>
      <c r="L19" s="616"/>
      <c r="M19" s="616"/>
      <c r="N19" s="616"/>
      <c r="O19" s="616"/>
      <c r="P19" s="616"/>
      <c r="Q19" s="616"/>
      <c r="R19" s="616"/>
      <c r="S19" s="616"/>
      <c r="T19" s="616"/>
      <c r="U19" s="616"/>
      <c r="V19" s="616"/>
      <c r="W19" s="616"/>
      <c r="X19" s="616"/>
      <c r="Y19" s="616"/>
      <c r="Z19" s="616"/>
      <c r="AA19" s="616"/>
      <c r="AB19" s="616"/>
      <c r="AC19" s="34"/>
    </row>
    <row r="20" spans="1:29">
      <c r="A20" s="1120">
        <v>40</v>
      </c>
      <c r="B20" s="34" t="s">
        <v>1174</v>
      </c>
      <c r="C20" s="34"/>
      <c r="D20" s="616"/>
      <c r="E20" s="616"/>
      <c r="F20" s="616"/>
      <c r="G20" s="616"/>
      <c r="H20" s="616"/>
      <c r="I20" s="616"/>
      <c r="J20" s="616"/>
      <c r="K20" s="616"/>
      <c r="L20" s="616"/>
      <c r="M20" s="616"/>
      <c r="N20" s="616">
        <v>-720378</v>
      </c>
      <c r="O20" s="616">
        <v>-1594481</v>
      </c>
      <c r="P20" s="616">
        <v>-788511</v>
      </c>
      <c r="Q20" s="616">
        <v>-743625</v>
      </c>
      <c r="R20" s="616"/>
      <c r="S20" s="616">
        <v>-874000</v>
      </c>
      <c r="T20" s="616">
        <v>-678000</v>
      </c>
      <c r="U20" s="616">
        <v>-624000</v>
      </c>
      <c r="V20" s="616">
        <v>-674000</v>
      </c>
      <c r="W20" s="616">
        <v>-513000</v>
      </c>
      <c r="X20" s="616">
        <v>-460000</v>
      </c>
      <c r="Y20" s="616">
        <v>-657000</v>
      </c>
      <c r="Z20" s="616">
        <v>-901000</v>
      </c>
      <c r="AA20" s="616">
        <v>-635000</v>
      </c>
      <c r="AB20" s="616">
        <v>-974000</v>
      </c>
      <c r="AC20" s="34"/>
    </row>
    <row r="21" spans="1:29">
      <c r="A21" s="1120">
        <v>40</v>
      </c>
      <c r="B21" s="34" t="s">
        <v>60</v>
      </c>
      <c r="C21" s="34"/>
      <c r="D21" s="616"/>
      <c r="E21" s="616"/>
      <c r="F21" s="616"/>
      <c r="G21" s="616"/>
      <c r="H21" s="616"/>
      <c r="I21" s="616"/>
      <c r="J21" s="616"/>
      <c r="K21" s="616"/>
      <c r="L21" s="616"/>
      <c r="M21" s="616"/>
      <c r="N21" s="616"/>
      <c r="O21" s="616"/>
      <c r="P21" s="616"/>
      <c r="Q21" s="616"/>
      <c r="R21" s="616"/>
      <c r="S21" s="616"/>
      <c r="T21" s="616"/>
      <c r="U21" s="616"/>
      <c r="V21" s="616"/>
      <c r="W21" s="616"/>
      <c r="X21" s="616"/>
      <c r="Y21" s="616">
        <v>-17000</v>
      </c>
      <c r="Z21" s="616">
        <v>-27000</v>
      </c>
      <c r="AA21" s="616">
        <v>-14000</v>
      </c>
      <c r="AB21" s="616">
        <v>-30000</v>
      </c>
      <c r="AC21" s="34"/>
    </row>
    <row r="22" spans="1:29">
      <c r="A22" s="1120">
        <v>40</v>
      </c>
      <c r="B22" s="34" t="s">
        <v>61</v>
      </c>
      <c r="C22" s="34"/>
      <c r="D22" s="616"/>
      <c r="E22" s="616"/>
      <c r="F22" s="616"/>
      <c r="G22" s="616"/>
      <c r="H22" s="616"/>
      <c r="I22" s="616"/>
      <c r="J22" s="616"/>
      <c r="K22" s="616"/>
      <c r="L22" s="616"/>
      <c r="M22" s="616"/>
      <c r="N22" s="616"/>
      <c r="O22" s="616"/>
      <c r="P22" s="616"/>
      <c r="Q22" s="616"/>
      <c r="R22" s="616"/>
      <c r="S22" s="616"/>
      <c r="T22" s="616"/>
      <c r="U22" s="616"/>
      <c r="V22" s="616"/>
      <c r="W22" s="616"/>
      <c r="X22" s="616"/>
      <c r="Y22" s="616">
        <v>-7000</v>
      </c>
      <c r="Z22" s="616">
        <v>-10000</v>
      </c>
      <c r="AA22" s="616">
        <v>-7000</v>
      </c>
      <c r="AB22" s="616">
        <v>-7000</v>
      </c>
      <c r="AC22" s="34"/>
    </row>
    <row r="23" spans="1:29">
      <c r="A23" s="1120">
        <v>40</v>
      </c>
      <c r="B23" s="34" t="s">
        <v>1206</v>
      </c>
      <c r="C23" s="34"/>
      <c r="D23" s="616"/>
      <c r="E23" s="616"/>
      <c r="F23" s="616"/>
      <c r="G23" s="616"/>
      <c r="H23" s="616"/>
      <c r="I23" s="616"/>
      <c r="J23" s="616"/>
      <c r="K23" s="616"/>
      <c r="L23" s="616"/>
      <c r="M23" s="616"/>
      <c r="N23" s="616"/>
      <c r="O23" s="616"/>
      <c r="P23" s="616"/>
      <c r="Q23" s="616"/>
      <c r="R23" s="616"/>
      <c r="S23" s="616">
        <v>-83000</v>
      </c>
      <c r="T23" s="616">
        <v>-87000</v>
      </c>
      <c r="U23" s="616">
        <v>-77000</v>
      </c>
      <c r="V23" s="616">
        <v>-253000</v>
      </c>
      <c r="W23" s="616">
        <v>-190000</v>
      </c>
      <c r="X23" s="616">
        <v>-115000</v>
      </c>
      <c r="Y23" s="616">
        <v>-123000</v>
      </c>
      <c r="Z23" s="616">
        <v>-116000</v>
      </c>
      <c r="AA23" s="616">
        <v>-114000</v>
      </c>
      <c r="AB23" s="616">
        <v>-150000</v>
      </c>
      <c r="AC23" s="34"/>
    </row>
    <row r="24" spans="1:29">
      <c r="A24" s="1120">
        <v>40</v>
      </c>
      <c r="B24" s="34" t="s">
        <v>62</v>
      </c>
      <c r="C24" s="34"/>
      <c r="D24" s="616"/>
      <c r="E24" s="616"/>
      <c r="F24" s="616"/>
      <c r="G24" s="616"/>
      <c r="H24" s="616"/>
      <c r="I24" s="616"/>
      <c r="J24" s="616"/>
      <c r="K24" s="616"/>
      <c r="L24" s="616"/>
      <c r="M24" s="616"/>
      <c r="N24" s="616"/>
      <c r="O24" s="616"/>
      <c r="P24" s="616"/>
      <c r="Q24" s="616"/>
      <c r="R24" s="616"/>
      <c r="S24" s="616"/>
      <c r="T24" s="616"/>
      <c r="U24" s="616"/>
      <c r="V24" s="616"/>
      <c r="W24" s="616"/>
      <c r="X24" s="616"/>
      <c r="Y24" s="616">
        <v>-1000</v>
      </c>
      <c r="Z24" s="616">
        <v>-17000</v>
      </c>
      <c r="AA24" s="616">
        <v>-22000</v>
      </c>
      <c r="AB24" s="616">
        <v>-24000</v>
      </c>
      <c r="AC24" s="34"/>
    </row>
    <row r="25" spans="1:29">
      <c r="A25" s="1120">
        <v>40</v>
      </c>
      <c r="B25" s="34" t="s">
        <v>63</v>
      </c>
      <c r="C25" s="34"/>
      <c r="D25" s="616"/>
      <c r="E25" s="616"/>
      <c r="F25" s="616"/>
      <c r="G25" s="616"/>
      <c r="H25" s="616"/>
      <c r="I25" s="616"/>
      <c r="J25" s="616"/>
      <c r="K25" s="616"/>
      <c r="L25" s="616"/>
      <c r="M25" s="616"/>
      <c r="N25" s="616"/>
      <c r="O25" s="616"/>
      <c r="P25" s="616"/>
      <c r="Q25" s="616"/>
      <c r="R25" s="616"/>
      <c r="S25" s="616">
        <v>-15000</v>
      </c>
      <c r="T25" s="616">
        <v>-4000</v>
      </c>
      <c r="U25" s="616">
        <v>1000</v>
      </c>
      <c r="V25" s="616">
        <v>-6000</v>
      </c>
      <c r="W25" s="616">
        <v>-8000</v>
      </c>
      <c r="X25" s="616">
        <v>-9000</v>
      </c>
      <c r="Y25" s="616">
        <v>-17000</v>
      </c>
      <c r="Z25" s="616">
        <v>-24000</v>
      </c>
      <c r="AA25" s="616">
        <v>-28000</v>
      </c>
      <c r="AB25" s="616">
        <v>-45000</v>
      </c>
      <c r="AC25" s="34"/>
    </row>
    <row r="26" spans="1:29">
      <c r="A26" s="1120">
        <v>40</v>
      </c>
      <c r="B26" s="34" t="s">
        <v>64</v>
      </c>
      <c r="C26" s="34"/>
      <c r="D26" s="616"/>
      <c r="E26" s="616"/>
      <c r="F26" s="616"/>
      <c r="G26" s="616"/>
      <c r="H26" s="616"/>
      <c r="I26" s="616"/>
      <c r="J26" s="616"/>
      <c r="K26" s="616"/>
      <c r="L26" s="616"/>
      <c r="M26" s="616"/>
      <c r="N26" s="616"/>
      <c r="O26" s="616"/>
      <c r="P26" s="616"/>
      <c r="Q26" s="616"/>
      <c r="R26" s="616"/>
      <c r="S26" s="616">
        <v>-544000</v>
      </c>
      <c r="T26" s="616">
        <v>-576000</v>
      </c>
      <c r="U26" s="616">
        <v>-596000</v>
      </c>
      <c r="V26" s="616"/>
      <c r="W26" s="616"/>
      <c r="X26" s="616"/>
      <c r="Y26" s="616">
        <v>-39000</v>
      </c>
      <c r="Z26" s="616">
        <v>-40000</v>
      </c>
      <c r="AA26" s="616">
        <v>-32000</v>
      </c>
      <c r="AB26" s="616">
        <v>-28000</v>
      </c>
      <c r="AC26" s="34"/>
    </row>
    <row r="27" spans="1:29">
      <c r="A27" s="1120">
        <v>40</v>
      </c>
      <c r="B27" s="34" t="s">
        <v>65</v>
      </c>
      <c r="C27" s="34"/>
      <c r="D27" s="616"/>
      <c r="E27" s="616"/>
      <c r="F27" s="616"/>
      <c r="G27" s="616"/>
      <c r="H27" s="616"/>
      <c r="I27" s="616"/>
      <c r="J27" s="616"/>
      <c r="K27" s="616"/>
      <c r="L27" s="616"/>
      <c r="M27" s="616"/>
      <c r="N27" s="616"/>
      <c r="O27" s="616"/>
      <c r="P27" s="616"/>
      <c r="Q27" s="616"/>
      <c r="R27" s="616"/>
      <c r="S27" s="616"/>
      <c r="T27" s="616"/>
      <c r="U27" s="616"/>
      <c r="V27" s="616">
        <v>-665000</v>
      </c>
      <c r="W27" s="616">
        <v>-637000</v>
      </c>
      <c r="X27" s="616">
        <v>-638000</v>
      </c>
      <c r="Y27" s="616">
        <v>-584000</v>
      </c>
      <c r="Z27" s="616">
        <v>-560000</v>
      </c>
      <c r="AA27" s="616">
        <v>-509000</v>
      </c>
      <c r="AB27" s="616">
        <v>-460000</v>
      </c>
      <c r="AC27" s="34"/>
    </row>
    <row r="28" spans="1:29">
      <c r="A28" s="1120">
        <v>40</v>
      </c>
      <c r="B28" s="34" t="s">
        <v>66</v>
      </c>
      <c r="C28" s="34"/>
      <c r="D28" s="616"/>
      <c r="E28" s="616"/>
      <c r="F28" s="616"/>
      <c r="G28" s="616"/>
      <c r="H28" s="616"/>
      <c r="I28" s="616"/>
      <c r="J28" s="616"/>
      <c r="K28" s="616"/>
      <c r="L28" s="616"/>
      <c r="M28" s="616"/>
      <c r="N28" s="616"/>
      <c r="O28" s="616"/>
      <c r="P28" s="616"/>
      <c r="Q28" s="616"/>
      <c r="R28" s="616"/>
      <c r="S28" s="616">
        <v>-23000</v>
      </c>
      <c r="T28" s="616">
        <v>-26000</v>
      </c>
      <c r="U28" s="616">
        <v>-32000</v>
      </c>
      <c r="V28" s="616"/>
      <c r="W28" s="616"/>
      <c r="X28" s="616"/>
      <c r="Y28" s="616">
        <v>-3000</v>
      </c>
      <c r="Z28" s="616">
        <v>-3000</v>
      </c>
      <c r="AA28" s="616">
        <v>-2000</v>
      </c>
      <c r="AB28" s="616">
        <v>-13000</v>
      </c>
      <c r="AC28" s="34"/>
    </row>
    <row r="29" spans="1:29">
      <c r="A29" s="1120">
        <v>40</v>
      </c>
      <c r="B29" s="34" t="s">
        <v>67</v>
      </c>
      <c r="C29" s="34"/>
      <c r="D29" s="616"/>
      <c r="E29" s="616"/>
      <c r="F29" s="616"/>
      <c r="G29" s="616"/>
      <c r="H29" s="616"/>
      <c r="I29" s="616"/>
      <c r="J29" s="616"/>
      <c r="K29" s="616"/>
      <c r="L29" s="616"/>
      <c r="M29" s="616"/>
      <c r="N29" s="616"/>
      <c r="O29" s="616"/>
      <c r="P29" s="616"/>
      <c r="Q29" s="616"/>
      <c r="R29" s="616"/>
      <c r="S29" s="616">
        <v>-391000</v>
      </c>
      <c r="T29" s="616">
        <v>-362000</v>
      </c>
      <c r="U29" s="616">
        <v>-278000</v>
      </c>
      <c r="V29" s="616">
        <v>-57000</v>
      </c>
      <c r="W29" s="616">
        <v>-46000</v>
      </c>
      <c r="X29" s="616">
        <v>-44000</v>
      </c>
      <c r="Y29" s="616">
        <v>-46000</v>
      </c>
      <c r="Z29" s="616">
        <v>-46000</v>
      </c>
      <c r="AA29" s="616">
        <v>-46000</v>
      </c>
      <c r="AB29" s="616">
        <v>-44000</v>
      </c>
      <c r="AC29" s="34"/>
    </row>
    <row r="30" spans="1:29">
      <c r="A30" s="1120">
        <v>40</v>
      </c>
      <c r="B30" s="34" t="s">
        <v>68</v>
      </c>
      <c r="C30" s="34"/>
      <c r="D30" s="616"/>
      <c r="E30" s="616"/>
      <c r="F30" s="616"/>
      <c r="G30" s="616"/>
      <c r="H30" s="616"/>
      <c r="I30" s="616"/>
      <c r="J30" s="616"/>
      <c r="K30" s="616"/>
      <c r="L30" s="616"/>
      <c r="M30" s="616"/>
      <c r="N30" s="616"/>
      <c r="O30" s="616"/>
      <c r="P30" s="616"/>
      <c r="Q30" s="616"/>
      <c r="R30" s="616"/>
      <c r="S30" s="616"/>
      <c r="T30" s="616"/>
      <c r="U30" s="616"/>
      <c r="V30" s="616"/>
      <c r="W30" s="616"/>
      <c r="X30" s="616"/>
      <c r="Y30" s="616"/>
      <c r="Z30" s="616"/>
      <c r="AA30" s="616">
        <v>0</v>
      </c>
      <c r="AB30" s="616">
        <v>-1000</v>
      </c>
      <c r="AC30" s="34"/>
    </row>
    <row r="31" spans="1:29">
      <c r="A31" s="1120">
        <v>40</v>
      </c>
      <c r="B31" s="34" t="s">
        <v>69</v>
      </c>
      <c r="C31" s="34"/>
      <c r="D31" s="616"/>
      <c r="E31" s="616"/>
      <c r="F31" s="616"/>
      <c r="G31" s="616"/>
      <c r="H31" s="616"/>
      <c r="I31" s="616"/>
      <c r="J31" s="616"/>
      <c r="K31" s="616"/>
      <c r="L31" s="616"/>
      <c r="M31" s="616"/>
      <c r="N31" s="616"/>
      <c r="O31" s="616"/>
      <c r="P31" s="616"/>
      <c r="Q31" s="616"/>
      <c r="R31" s="616"/>
      <c r="S31" s="616"/>
      <c r="T31" s="616"/>
      <c r="U31" s="616"/>
      <c r="V31" s="616"/>
      <c r="W31" s="616"/>
      <c r="X31" s="616"/>
      <c r="Y31" s="616">
        <v>-1000</v>
      </c>
      <c r="Z31" s="616">
        <v>-6000</v>
      </c>
      <c r="AA31" s="616">
        <v>-17000</v>
      </c>
      <c r="AB31" s="616">
        <v>-33000</v>
      </c>
      <c r="AC31" s="34"/>
    </row>
    <row r="32" spans="1:29">
      <c r="A32" s="1120">
        <v>40</v>
      </c>
      <c r="B32" s="34" t="s">
        <v>70</v>
      </c>
      <c r="C32" s="34"/>
      <c r="D32" s="616"/>
      <c r="E32" s="616"/>
      <c r="F32" s="702" t="e">
        <v>#REF!</v>
      </c>
      <c r="G32" s="702" t="e">
        <v>#REF!</v>
      </c>
      <c r="H32" s="702" t="e">
        <v>#REF!</v>
      </c>
      <c r="I32" s="702" t="e">
        <v>#REF!</v>
      </c>
      <c r="J32" s="702" t="e">
        <v>#REF!</v>
      </c>
      <c r="K32" s="702" t="e">
        <v>#REF!</v>
      </c>
      <c r="L32" s="702" t="e">
        <v>#REF!</v>
      </c>
      <c r="M32" s="702" t="e">
        <v>#REF!</v>
      </c>
      <c r="N32" s="702">
        <v>0</v>
      </c>
      <c r="O32" s="702">
        <v>0</v>
      </c>
      <c r="P32" s="702">
        <v>0</v>
      </c>
      <c r="Q32" s="702">
        <v>0</v>
      </c>
      <c r="R32" s="702"/>
      <c r="S32" s="702">
        <v>-262000</v>
      </c>
      <c r="T32" s="702">
        <v>-252000</v>
      </c>
      <c r="U32" s="702">
        <v>-253000</v>
      </c>
      <c r="V32" s="702">
        <v>-263000</v>
      </c>
      <c r="W32" s="702">
        <v>-247000</v>
      </c>
      <c r="X32" s="702">
        <v>-228000</v>
      </c>
      <c r="Y32" s="702">
        <v>-208000</v>
      </c>
      <c r="Z32" s="702">
        <v>-205000</v>
      </c>
      <c r="AA32" s="702">
        <v>-201000</v>
      </c>
      <c r="AB32" s="702">
        <v>-211000</v>
      </c>
      <c r="AC32" s="34"/>
    </row>
    <row r="33" spans="1:34">
      <c r="A33" s="1120"/>
      <c r="B33" s="722" t="s">
        <v>71</v>
      </c>
      <c r="C33" s="34"/>
      <c r="D33" s="616"/>
      <c r="E33" s="616"/>
      <c r="F33" s="616" t="e">
        <v>#REF!</v>
      </c>
      <c r="G33" s="616" t="e">
        <v>#REF!</v>
      </c>
      <c r="H33" s="616" t="e">
        <v>#REF!</v>
      </c>
      <c r="I33" s="616" t="e">
        <v>#REF!</v>
      </c>
      <c r="J33" s="616" t="e">
        <v>#REF!</v>
      </c>
      <c r="K33" s="616" t="e">
        <v>#REF!</v>
      </c>
      <c r="L33" s="616" t="e">
        <v>#REF!</v>
      </c>
      <c r="M33" s="616" t="e">
        <v>#REF!</v>
      </c>
      <c r="N33" s="616">
        <v>-720378</v>
      </c>
      <c r="O33" s="616">
        <v>-1594481</v>
      </c>
      <c r="P33" s="616">
        <v>-788511</v>
      </c>
      <c r="Q33" s="616">
        <v>-743625</v>
      </c>
      <c r="R33" s="616">
        <v>0</v>
      </c>
      <c r="S33" s="616">
        <v>-2192000</v>
      </c>
      <c r="T33" s="616">
        <v>-1985000</v>
      </c>
      <c r="U33" s="616">
        <v>-1859000</v>
      </c>
      <c r="V33" s="616">
        <v>-1918000</v>
      </c>
      <c r="W33" s="616">
        <v>-1641000</v>
      </c>
      <c r="X33" s="616">
        <v>-1494000</v>
      </c>
      <c r="Y33" s="616">
        <v>-1703000</v>
      </c>
      <c r="Z33" s="616">
        <v>-1955000</v>
      </c>
      <c r="AA33" s="616">
        <v>-1627000</v>
      </c>
      <c r="AB33" s="616">
        <v>-2020000</v>
      </c>
      <c r="AC33" s="34"/>
    </row>
    <row r="34" spans="1:34">
      <c r="A34" s="1120"/>
      <c r="B34" s="1111"/>
      <c r="C34" s="1111"/>
      <c r="D34" s="616"/>
      <c r="E34" s="9"/>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1111"/>
    </row>
    <row r="35" spans="1:34">
      <c r="A35" s="1156" t="s">
        <v>72</v>
      </c>
      <c r="B35" s="1430"/>
      <c r="C35" s="1430"/>
      <c r="D35" s="616"/>
      <c r="E35" s="9"/>
      <c r="F35" s="616"/>
      <c r="G35" s="616"/>
      <c r="H35" s="616"/>
      <c r="I35" s="616"/>
      <c r="J35" s="616"/>
      <c r="K35" s="616"/>
      <c r="L35" s="616"/>
      <c r="M35" s="616"/>
      <c r="N35" s="616"/>
      <c r="O35" s="616"/>
      <c r="P35" s="616"/>
      <c r="Q35" s="616"/>
      <c r="R35" s="616"/>
      <c r="S35" s="616">
        <v>509000</v>
      </c>
      <c r="T35" s="616">
        <v>541000</v>
      </c>
      <c r="U35" s="616">
        <v>587000</v>
      </c>
      <c r="V35" s="616">
        <v>525000</v>
      </c>
      <c r="W35" s="616">
        <v>523000</v>
      </c>
      <c r="X35" s="616">
        <v>465000</v>
      </c>
      <c r="Y35" s="616">
        <v>449000</v>
      </c>
      <c r="Z35" s="616">
        <v>505000</v>
      </c>
      <c r="AA35" s="616">
        <v>446000</v>
      </c>
      <c r="AB35" s="707">
        <v>553000</v>
      </c>
      <c r="AC35" s="1111"/>
      <c r="AD35" s="14"/>
    </row>
    <row r="36" spans="1:34">
      <c r="A36" s="1120">
        <v>100</v>
      </c>
      <c r="B36" s="1111" t="s">
        <v>313</v>
      </c>
      <c r="C36" s="1111"/>
      <c r="D36" s="616"/>
      <c r="E36" s="9"/>
      <c r="F36" s="616" t="e">
        <v>#REF!</v>
      </c>
      <c r="G36" s="616" t="e">
        <v>#REF!</v>
      </c>
      <c r="H36" s="616" t="e">
        <v>#REF!</v>
      </c>
      <c r="I36" s="616" t="e">
        <v>#REF!</v>
      </c>
      <c r="J36" s="616" t="e">
        <v>#REF!</v>
      </c>
      <c r="K36" s="616" t="e">
        <v>#REF!</v>
      </c>
      <c r="L36" s="616" t="e">
        <v>#REF!</v>
      </c>
      <c r="M36" s="616" t="e">
        <v>#REF!</v>
      </c>
      <c r="N36" s="616" t="e">
        <v>#REF!</v>
      </c>
      <c r="O36" s="616" t="e">
        <v>#REF!</v>
      </c>
      <c r="P36" s="616" t="e">
        <v>#REF!</v>
      </c>
      <c r="Q36" s="616" t="e">
        <v>#REF!</v>
      </c>
      <c r="R36" s="616"/>
      <c r="S36" s="707"/>
      <c r="T36" s="616"/>
      <c r="U36" s="616"/>
      <c r="V36" s="707"/>
      <c r="W36" s="707"/>
      <c r="X36" s="707"/>
      <c r="Y36" s="707"/>
      <c r="Z36" s="707"/>
      <c r="AA36" s="707"/>
      <c r="AB36" s="707"/>
      <c r="AC36" s="1116"/>
      <c r="AD36" s="1121"/>
      <c r="AE36" s="1121"/>
    </row>
    <row r="37" spans="1:34">
      <c r="A37" s="1120">
        <v>110</v>
      </c>
      <c r="B37" s="1111" t="s">
        <v>95</v>
      </c>
      <c r="C37" s="1111"/>
      <c r="D37" s="616"/>
      <c r="E37" s="9"/>
      <c r="F37" s="616" t="e">
        <v>#REF!</v>
      </c>
      <c r="G37" s="616" t="e">
        <v>#REF!</v>
      </c>
      <c r="H37" s="616" t="e">
        <v>#REF!</v>
      </c>
      <c r="I37" s="616" t="e">
        <v>#REF!</v>
      </c>
      <c r="J37" s="616" t="e">
        <v>#REF!</v>
      </c>
      <c r="K37" s="616" t="e">
        <v>#REF!</v>
      </c>
      <c r="L37" s="616" t="e">
        <v>#REF!</v>
      </c>
      <c r="M37" s="616" t="e">
        <v>#REF!</v>
      </c>
      <c r="N37" s="616" t="e">
        <v>#REF!</v>
      </c>
      <c r="O37" s="616" t="e">
        <v>#REF!</v>
      </c>
      <c r="P37" s="616" t="e">
        <v>#REF!</v>
      </c>
      <c r="Q37" s="616" t="e">
        <v>#REF!</v>
      </c>
      <c r="R37" s="616"/>
      <c r="S37" s="616"/>
      <c r="T37" s="616"/>
      <c r="U37" s="616"/>
      <c r="V37" s="616"/>
      <c r="W37" s="616"/>
      <c r="X37" s="616"/>
      <c r="Y37" s="616"/>
      <c r="Z37" s="616"/>
      <c r="AA37" s="616"/>
      <c r="AB37" s="616"/>
      <c r="AC37" s="1111"/>
      <c r="AD37" s="1121"/>
      <c r="AE37" s="1121"/>
    </row>
    <row r="38" spans="1:34">
      <c r="A38" s="1120">
        <v>90</v>
      </c>
      <c r="B38" s="1111" t="s">
        <v>314</v>
      </c>
      <c r="C38" s="1111"/>
      <c r="D38" s="616"/>
      <c r="E38" s="9"/>
      <c r="F38" s="616" t="e">
        <v>#REF!</v>
      </c>
      <c r="G38" s="616" t="e">
        <v>#REF!</v>
      </c>
      <c r="H38" s="616" t="e">
        <v>#REF!</v>
      </c>
      <c r="I38" s="616" t="e">
        <v>#REF!</v>
      </c>
      <c r="J38" s="616" t="e">
        <v>#REF!</v>
      </c>
      <c r="K38" s="616" t="e">
        <v>#REF!</v>
      </c>
      <c r="L38" s="616" t="e">
        <v>#REF!</v>
      </c>
      <c r="M38" s="707" t="e">
        <v>#REF!</v>
      </c>
      <c r="N38" s="616" t="e">
        <v>#REF!</v>
      </c>
      <c r="O38" s="616" t="e">
        <v>#REF!</v>
      </c>
      <c r="P38" s="616" t="e">
        <v>#REF!</v>
      </c>
      <c r="Q38" s="616" t="e">
        <v>#REF!</v>
      </c>
      <c r="R38" s="616"/>
      <c r="S38" s="616"/>
      <c r="T38" s="616"/>
      <c r="U38" s="616"/>
      <c r="V38" s="616"/>
      <c r="W38" s="616"/>
      <c r="X38" s="616"/>
      <c r="Y38" s="616"/>
      <c r="Z38" s="616"/>
      <c r="AA38" s="616"/>
      <c r="AB38" s="616"/>
      <c r="AC38" s="1111"/>
    </row>
    <row r="39" spans="1:34">
      <c r="A39" s="1120">
        <v>110</v>
      </c>
      <c r="B39" s="1111" t="s">
        <v>315</v>
      </c>
      <c r="C39" s="1111"/>
      <c r="D39" s="616"/>
      <c r="E39" s="9"/>
      <c r="F39" s="616" t="e">
        <v>#REF!</v>
      </c>
      <c r="G39" s="616" t="e">
        <v>#REF!</v>
      </c>
      <c r="H39" s="616" t="e">
        <v>#REF!</v>
      </c>
      <c r="I39" s="616" t="e">
        <v>#REF!</v>
      </c>
      <c r="J39" s="616" t="e">
        <v>#REF!</v>
      </c>
      <c r="K39" s="616" t="e">
        <v>#REF!</v>
      </c>
      <c r="L39" s="616" t="e">
        <v>#REF!</v>
      </c>
      <c r="M39" s="616" t="e">
        <v>#REF!</v>
      </c>
      <c r="N39" s="616" t="e">
        <v>#REF!</v>
      </c>
      <c r="O39" s="616" t="e">
        <v>#REF!</v>
      </c>
      <c r="P39" s="616" t="e">
        <v>#REF!</v>
      </c>
      <c r="Q39" s="616" t="e">
        <v>#REF!</v>
      </c>
      <c r="R39" s="616"/>
      <c r="S39" s="616"/>
      <c r="T39" s="616"/>
      <c r="U39" s="616"/>
      <c r="V39" s="616"/>
      <c r="W39" s="616"/>
      <c r="X39" s="616"/>
      <c r="Y39" s="616"/>
      <c r="Z39" s="616"/>
      <c r="AA39" s="616"/>
      <c r="AB39" s="616"/>
      <c r="AC39" s="1111"/>
    </row>
    <row r="40" spans="1:34">
      <c r="A40" s="1120">
        <v>120</v>
      </c>
      <c r="B40" s="1111" t="s">
        <v>73</v>
      </c>
      <c r="C40" s="1111"/>
      <c r="D40" s="616"/>
      <c r="E40" s="616"/>
      <c r="F40" s="616"/>
      <c r="G40" s="616"/>
      <c r="H40" s="616"/>
      <c r="I40" s="616"/>
      <c r="J40" s="616"/>
      <c r="K40" s="616"/>
      <c r="L40" s="616"/>
      <c r="M40" s="616"/>
      <c r="N40" s="616">
        <v>658</v>
      </c>
      <c r="O40" s="616">
        <v>45497</v>
      </c>
      <c r="P40" s="616">
        <v>-114109</v>
      </c>
      <c r="Q40" s="616">
        <v>-14872</v>
      </c>
      <c r="R40" s="616"/>
      <c r="S40" s="616"/>
      <c r="T40" s="616"/>
      <c r="U40" s="616"/>
      <c r="V40" s="616">
        <v>-37000</v>
      </c>
      <c r="W40" s="616"/>
      <c r="X40" s="616"/>
      <c r="Y40" s="616"/>
      <c r="Z40" s="616">
        <v>2000</v>
      </c>
      <c r="AA40" s="616"/>
      <c r="AB40" s="616">
        <v>7000</v>
      </c>
      <c r="AC40" s="1111"/>
      <c r="AE40" s="1110"/>
      <c r="AF40" s="1418"/>
      <c r="AG40" s="1418"/>
      <c r="AH40" s="1110"/>
    </row>
    <row r="41" spans="1:34">
      <c r="A41" s="1120">
        <v>60</v>
      </c>
      <c r="B41" s="1111" t="s">
        <v>74</v>
      </c>
      <c r="C41" s="1111"/>
      <c r="D41" s="616"/>
      <c r="E41" s="616"/>
      <c r="F41" s="616" t="e">
        <v>#REF!</v>
      </c>
      <c r="G41" s="616" t="e">
        <v>#REF!</v>
      </c>
      <c r="H41" s="616" t="e">
        <v>#REF!</v>
      </c>
      <c r="I41" s="616" t="e">
        <v>#REF!</v>
      </c>
      <c r="J41" s="616" t="e">
        <v>#REF!</v>
      </c>
      <c r="K41" s="616" t="e">
        <v>#REF!</v>
      </c>
      <c r="L41" s="616" t="e">
        <v>#REF!</v>
      </c>
      <c r="M41" s="616" t="e">
        <v>#REF!</v>
      </c>
      <c r="N41" s="616">
        <v>-107132</v>
      </c>
      <c r="O41" s="616">
        <v>-139556</v>
      </c>
      <c r="P41" s="616">
        <v>-149793</v>
      </c>
      <c r="Q41" s="616">
        <v>-174318</v>
      </c>
      <c r="R41" s="616"/>
      <c r="S41" s="616">
        <v>-177000</v>
      </c>
      <c r="T41" s="616">
        <v>-180000</v>
      </c>
      <c r="U41" s="616">
        <v>-175000</v>
      </c>
      <c r="V41" s="616">
        <v>-178000</v>
      </c>
      <c r="W41" s="616">
        <v>-175000</v>
      </c>
      <c r="X41" s="616">
        <v>-170000</v>
      </c>
      <c r="Y41" s="616">
        <v>-177000</v>
      </c>
      <c r="Z41" s="616">
        <v>-169000</v>
      </c>
      <c r="AA41" s="616">
        <v>-184000</v>
      </c>
      <c r="AB41" s="616">
        <v>-208000</v>
      </c>
      <c r="AC41" s="1111"/>
      <c r="AE41" s="1143"/>
      <c r="AF41" s="1143"/>
      <c r="AG41" s="1143"/>
      <c r="AH41" s="1110"/>
    </row>
    <row r="42" spans="1:34">
      <c r="A42" s="1120">
        <v>70</v>
      </c>
      <c r="B42" s="1111" t="s">
        <v>119</v>
      </c>
      <c r="C42" s="1120"/>
      <c r="D42" s="1120"/>
      <c r="E42" s="1120"/>
      <c r="F42" s="1120"/>
      <c r="G42" s="1120"/>
      <c r="H42" s="1120"/>
      <c r="I42" s="1120"/>
      <c r="J42" s="1120"/>
      <c r="K42" s="1120"/>
      <c r="L42" s="1120"/>
      <c r="M42" s="1120"/>
      <c r="N42" s="1120"/>
      <c r="O42" s="1120"/>
      <c r="P42" s="1120"/>
      <c r="Q42" s="1120"/>
      <c r="R42" s="1120"/>
      <c r="S42" s="616">
        <v>-16000</v>
      </c>
      <c r="T42" s="616">
        <v>-15000</v>
      </c>
      <c r="U42" s="616">
        <v>-15000</v>
      </c>
      <c r="V42" s="616">
        <v>-26000</v>
      </c>
      <c r="W42" s="616">
        <v>-28000</v>
      </c>
      <c r="X42" s="616">
        <v>-33000</v>
      </c>
      <c r="Y42" s="616">
        <v>-38000</v>
      </c>
      <c r="Z42" s="616">
        <v>-36000</v>
      </c>
      <c r="AA42" s="616">
        <v>-36000</v>
      </c>
      <c r="AB42" s="616">
        <v>-41000</v>
      </c>
      <c r="AC42" s="1111"/>
      <c r="AE42" s="1110"/>
      <c r="AF42" s="1143"/>
      <c r="AG42" s="1143"/>
      <c r="AH42" s="1110"/>
    </row>
    <row r="43" spans="1:34">
      <c r="A43" s="1120">
        <v>410</v>
      </c>
      <c r="B43" s="1111" t="s">
        <v>1178</v>
      </c>
      <c r="C43" s="1111"/>
      <c r="D43" s="616"/>
      <c r="E43" s="616"/>
      <c r="F43" s="616" t="e">
        <v>#REF!</v>
      </c>
      <c r="G43" s="616" t="e">
        <v>#REF!</v>
      </c>
      <c r="H43" s="616" t="e">
        <v>#REF!</v>
      </c>
      <c r="I43" s="616" t="e">
        <v>#REF!</v>
      </c>
      <c r="J43" s="616" t="e">
        <v>#REF!</v>
      </c>
      <c r="K43" s="616" t="e">
        <v>#REF!</v>
      </c>
      <c r="L43" s="616" t="e">
        <v>#REF!</v>
      </c>
      <c r="M43" s="707" t="e">
        <v>#REF!</v>
      </c>
      <c r="N43" s="616">
        <v>0</v>
      </c>
      <c r="O43" s="616">
        <v>0</v>
      </c>
      <c r="P43" s="616">
        <v>0</v>
      </c>
      <c r="Q43" s="616">
        <v>0</v>
      </c>
      <c r="R43" s="616"/>
      <c r="S43" s="616">
        <v>21000</v>
      </c>
      <c r="T43" s="616">
        <v>-28000</v>
      </c>
      <c r="U43" s="616">
        <v>1000</v>
      </c>
      <c r="V43" s="616">
        <v>-24000</v>
      </c>
      <c r="W43" s="616">
        <v>-10000</v>
      </c>
      <c r="X43" s="616">
        <v>-12000</v>
      </c>
      <c r="Y43" s="616">
        <v>3000</v>
      </c>
      <c r="Z43" s="1121"/>
      <c r="AA43" s="616"/>
      <c r="AB43" s="616"/>
      <c r="AC43" s="1111"/>
      <c r="AE43" s="1110"/>
      <c r="AF43" s="1110"/>
      <c r="AG43" s="1110"/>
      <c r="AH43" s="1110"/>
    </row>
    <row r="44" spans="1:34">
      <c r="A44" s="1120">
        <v>410</v>
      </c>
      <c r="B44" s="1397"/>
      <c r="C44" s="1397" t="s">
        <v>1405</v>
      </c>
      <c r="D44" s="1400"/>
      <c r="E44" s="760"/>
      <c r="F44" s="616"/>
      <c r="G44" s="616"/>
      <c r="H44" s="616"/>
      <c r="I44" s="616"/>
      <c r="J44" s="616"/>
      <c r="K44" s="616"/>
      <c r="L44" s="616"/>
      <c r="M44" s="707"/>
      <c r="N44" s="616"/>
      <c r="O44" s="616"/>
      <c r="P44" s="616"/>
      <c r="Q44" s="616"/>
      <c r="R44" s="616"/>
      <c r="S44" s="616"/>
      <c r="T44" s="616"/>
      <c r="U44" s="616"/>
      <c r="V44" s="616"/>
      <c r="W44" s="616">
        <v>2000</v>
      </c>
      <c r="X44" s="616"/>
      <c r="Y44" s="616"/>
      <c r="Z44" s="1121"/>
      <c r="AA44" s="616"/>
      <c r="AB44" s="616"/>
      <c r="AC44" s="1111"/>
      <c r="AE44" s="1110"/>
      <c r="AF44" s="1418"/>
      <c r="AG44" s="1110"/>
      <c r="AH44" s="1110"/>
    </row>
    <row r="45" spans="1:34">
      <c r="A45" s="1120">
        <v>410</v>
      </c>
      <c r="B45" s="1256" t="s">
        <v>1273</v>
      </c>
      <c r="C45" s="1111"/>
      <c r="D45" s="616"/>
      <c r="E45" s="616"/>
      <c r="F45" s="616"/>
      <c r="G45" s="616"/>
      <c r="H45" s="616"/>
      <c r="I45" s="616"/>
      <c r="J45" s="616"/>
      <c r="K45" s="616"/>
      <c r="L45" s="616"/>
      <c r="M45" s="707"/>
      <c r="N45" s="616"/>
      <c r="O45" s="616"/>
      <c r="P45" s="616"/>
      <c r="Q45" s="616"/>
      <c r="R45" s="616"/>
      <c r="S45" s="616"/>
      <c r="T45" s="616"/>
      <c r="U45" s="616"/>
      <c r="V45" s="616"/>
      <c r="W45" s="616">
        <v>-217000</v>
      </c>
      <c r="X45" s="616"/>
      <c r="Y45" s="1121"/>
      <c r="Z45" s="1121"/>
      <c r="AA45" s="616"/>
      <c r="AB45" s="616"/>
      <c r="AC45" s="1111"/>
      <c r="AE45" s="1110"/>
      <c r="AF45" s="1110"/>
      <c r="AG45" s="1110"/>
      <c r="AH45" s="1110"/>
    </row>
    <row r="46" spans="1:34">
      <c r="A46" s="1120">
        <v>410</v>
      </c>
      <c r="B46" s="1256" t="s">
        <v>1207</v>
      </c>
      <c r="C46" s="1111"/>
      <c r="D46" s="616"/>
      <c r="E46" s="616"/>
      <c r="F46" s="616"/>
      <c r="G46" s="616"/>
      <c r="H46" s="616"/>
      <c r="I46" s="616"/>
      <c r="J46" s="616"/>
      <c r="K46" s="616"/>
      <c r="L46" s="616"/>
      <c r="M46" s="707"/>
      <c r="N46" s="616"/>
      <c r="O46" s="616"/>
      <c r="P46" s="616"/>
      <c r="Q46" s="616"/>
      <c r="R46" s="616"/>
      <c r="S46" s="616"/>
      <c r="T46" s="616"/>
      <c r="U46" s="616"/>
      <c r="V46" s="616"/>
      <c r="W46" s="616">
        <v>-43000</v>
      </c>
      <c r="X46" s="616"/>
      <c r="Y46" s="1121"/>
      <c r="Z46" s="1121"/>
      <c r="AA46" s="616"/>
      <c r="AB46" s="616"/>
      <c r="AC46" s="1111"/>
      <c r="AE46" s="1110"/>
      <c r="AF46" s="1143"/>
      <c r="AG46" s="1110"/>
      <c r="AH46" s="1110"/>
    </row>
    <row r="47" spans="1:34">
      <c r="A47" s="1120">
        <v>410</v>
      </c>
      <c r="B47" s="1256" t="s">
        <v>362</v>
      </c>
      <c r="C47" s="1111"/>
      <c r="D47" s="616"/>
      <c r="E47" s="616"/>
      <c r="F47" s="616"/>
      <c r="G47" s="616"/>
      <c r="H47" s="616"/>
      <c r="I47" s="616"/>
      <c r="J47" s="616"/>
      <c r="K47" s="616"/>
      <c r="L47" s="616"/>
      <c r="M47" s="707"/>
      <c r="N47" s="616"/>
      <c r="O47" s="616"/>
      <c r="P47" s="616"/>
      <c r="Q47" s="616"/>
      <c r="R47" s="616"/>
      <c r="S47" s="616"/>
      <c r="T47" s="616"/>
      <c r="U47" s="616"/>
      <c r="V47" s="616"/>
      <c r="W47" s="616">
        <v>-36000</v>
      </c>
      <c r="X47" s="616"/>
      <c r="Y47" s="1121"/>
      <c r="Z47" s="1121"/>
      <c r="AA47" s="616"/>
      <c r="AB47" s="616"/>
      <c r="AC47" s="1111"/>
      <c r="AE47" s="1110"/>
      <c r="AF47" s="1110"/>
      <c r="AG47" s="1110"/>
      <c r="AH47" s="1110"/>
    </row>
    <row r="48" spans="1:34">
      <c r="A48" s="1120">
        <v>410</v>
      </c>
      <c r="B48" s="1256" t="s">
        <v>1180</v>
      </c>
      <c r="C48" s="1111"/>
      <c r="D48" s="616"/>
      <c r="E48" s="616"/>
      <c r="F48" s="616"/>
      <c r="G48" s="616"/>
      <c r="H48" s="616"/>
      <c r="I48" s="616"/>
      <c r="J48" s="616"/>
      <c r="K48" s="616"/>
      <c r="L48" s="616"/>
      <c r="M48" s="616"/>
      <c r="N48" s="616"/>
      <c r="O48" s="616"/>
      <c r="P48" s="616"/>
      <c r="Q48" s="616"/>
      <c r="R48" s="616"/>
      <c r="S48" s="616"/>
      <c r="T48" s="616"/>
      <c r="U48" s="616"/>
      <c r="V48" s="616"/>
      <c r="W48" s="616"/>
      <c r="X48" s="616"/>
      <c r="Y48" s="616"/>
      <c r="Z48" s="616">
        <v>2000</v>
      </c>
      <c r="AA48" s="616"/>
      <c r="AB48" s="616"/>
      <c r="AC48" s="1111"/>
    </row>
    <row r="49" spans="1:30">
      <c r="A49" s="1120">
        <v>600</v>
      </c>
      <c r="B49" s="1111" t="s">
        <v>1363</v>
      </c>
      <c r="C49" s="1111"/>
      <c r="D49" s="616"/>
      <c r="E49" s="616"/>
      <c r="F49" s="616"/>
      <c r="G49" s="616"/>
      <c r="H49" s="616"/>
      <c r="I49" s="616"/>
      <c r="J49" s="616"/>
      <c r="K49" s="616"/>
      <c r="L49" s="616"/>
      <c r="M49" s="616"/>
      <c r="N49" s="616"/>
      <c r="O49" s="616"/>
      <c r="P49" s="616"/>
      <c r="Q49" s="616"/>
      <c r="R49" s="616"/>
      <c r="S49" s="616"/>
      <c r="T49" s="616"/>
      <c r="U49" s="616"/>
      <c r="V49" s="616"/>
      <c r="W49" s="616"/>
      <c r="X49" s="616"/>
      <c r="Y49" s="616"/>
      <c r="Z49" s="616">
        <v>5000</v>
      </c>
      <c r="AA49" s="616"/>
      <c r="AB49" s="616"/>
      <c r="AC49" s="1111"/>
    </row>
    <row r="50" spans="1:30">
      <c r="A50" s="1120">
        <v>400</v>
      </c>
      <c r="B50" s="1111" t="s">
        <v>82</v>
      </c>
      <c r="C50" s="1111"/>
      <c r="D50" s="616"/>
      <c r="E50" s="616"/>
      <c r="F50" s="616" t="e">
        <v>#REF!</v>
      </c>
      <c r="G50" s="616" t="e">
        <v>#REF!</v>
      </c>
      <c r="H50" s="616" t="e">
        <v>#REF!</v>
      </c>
      <c r="I50" s="616" t="e">
        <v>#REF!</v>
      </c>
      <c r="J50" s="616" t="e">
        <v>#REF!</v>
      </c>
      <c r="K50" s="616" t="e">
        <v>#REF!</v>
      </c>
      <c r="L50" s="616" t="e">
        <v>#REF!</v>
      </c>
      <c r="M50" s="616" t="e">
        <v>#REF!</v>
      </c>
      <c r="N50" s="616">
        <v>0</v>
      </c>
      <c r="O50" s="616">
        <v>-98</v>
      </c>
      <c r="P50" s="616">
        <v>-1883</v>
      </c>
      <c r="Q50" s="616">
        <v>-2012</v>
      </c>
      <c r="R50" s="616"/>
      <c r="S50" s="702">
        <v>2000</v>
      </c>
      <c r="T50" s="702"/>
      <c r="U50" s="702"/>
      <c r="V50" s="702"/>
      <c r="W50" s="702"/>
      <c r="X50" s="702"/>
      <c r="Y50" s="702"/>
      <c r="Z50" s="702"/>
      <c r="AA50" s="702"/>
      <c r="AB50" s="702"/>
      <c r="AC50" s="1111"/>
    </row>
    <row r="51" spans="1:30">
      <c r="A51" s="1120"/>
      <c r="B51" s="1111" t="s">
        <v>317</v>
      </c>
      <c r="C51" s="1111"/>
      <c r="D51" s="616"/>
      <c r="E51" s="9"/>
      <c r="F51" s="616" t="e">
        <v>#REF!</v>
      </c>
      <c r="G51" s="616" t="e">
        <v>#REF!</v>
      </c>
      <c r="H51" s="616" t="e">
        <v>#REF!</v>
      </c>
      <c r="I51" s="616" t="e">
        <v>#REF!</v>
      </c>
      <c r="J51" s="616" t="e">
        <v>#REF!</v>
      </c>
      <c r="K51" s="616" t="e">
        <v>#REF!</v>
      </c>
      <c r="L51" s="616" t="e">
        <v>#REF!</v>
      </c>
      <c r="M51" s="616" t="e">
        <v>#REF!</v>
      </c>
      <c r="N51" s="616" t="e">
        <v>#REF!</v>
      </c>
      <c r="O51" s="616" t="e">
        <v>#REF!</v>
      </c>
      <c r="P51" s="616" t="e">
        <v>#REF!</v>
      </c>
      <c r="Q51" s="616" t="e">
        <v>#REF!</v>
      </c>
      <c r="R51" s="616"/>
      <c r="S51" s="616">
        <v>-170000</v>
      </c>
      <c r="T51" s="616">
        <v>-223000</v>
      </c>
      <c r="U51" s="616">
        <v>-189000</v>
      </c>
      <c r="V51" s="616">
        <v>-265000</v>
      </c>
      <c r="W51" s="616">
        <v>-507000</v>
      </c>
      <c r="X51" s="616">
        <v>-215000</v>
      </c>
      <c r="Y51" s="616">
        <v>-212000</v>
      </c>
      <c r="Z51" s="616">
        <v>-196000</v>
      </c>
      <c r="AA51" s="616">
        <v>-220000</v>
      </c>
      <c r="AB51" s="616">
        <v>-242000</v>
      </c>
      <c r="AC51" s="1111"/>
      <c r="AD51" s="14"/>
    </row>
    <row r="52" spans="1:30">
      <c r="A52" s="1120"/>
      <c r="B52" s="1111"/>
      <c r="C52" s="1111"/>
      <c r="D52" s="616"/>
      <c r="E52" s="9"/>
      <c r="F52" s="616"/>
      <c r="G52" s="616"/>
      <c r="H52" s="616"/>
      <c r="I52" s="616"/>
      <c r="J52" s="616"/>
      <c r="K52" s="616"/>
      <c r="L52" s="616"/>
      <c r="M52" s="616"/>
      <c r="N52" s="616"/>
      <c r="O52" s="616"/>
      <c r="P52" s="616"/>
      <c r="Q52" s="616"/>
      <c r="R52" s="616"/>
      <c r="S52" s="616"/>
      <c r="T52" s="616"/>
      <c r="U52" s="616"/>
      <c r="V52" s="616"/>
      <c r="W52" s="616"/>
      <c r="X52" s="616"/>
      <c r="Y52" s="616"/>
      <c r="Z52" s="616"/>
      <c r="AA52" s="616"/>
      <c r="AB52" s="616"/>
      <c r="AC52" s="1111"/>
      <c r="AD52" s="14"/>
    </row>
    <row r="53" spans="1:30">
      <c r="A53" s="1156" t="s">
        <v>84</v>
      </c>
      <c r="C53" s="616"/>
      <c r="D53" s="616"/>
      <c r="E53" s="9"/>
      <c r="F53" s="616" t="e">
        <v>#REF!</v>
      </c>
      <c r="G53" s="616" t="e">
        <v>#REF!</v>
      </c>
      <c r="H53" s="616" t="e">
        <v>#REF!</v>
      </c>
      <c r="I53" s="616" t="e">
        <v>#REF!</v>
      </c>
      <c r="J53" s="616" t="e">
        <v>#REF!</v>
      </c>
      <c r="K53" s="616" t="e">
        <v>#REF!</v>
      </c>
      <c r="L53" s="616" t="e">
        <v>#REF!</v>
      </c>
      <c r="M53" s="616" t="e">
        <v>#REF!</v>
      </c>
      <c r="N53" s="616" t="e">
        <v>#REF!</v>
      </c>
      <c r="O53" s="616" t="e">
        <v>#REF!</v>
      </c>
      <c r="P53" s="616" t="e">
        <v>#REF!</v>
      </c>
      <c r="Q53" s="616" t="e">
        <v>#REF!</v>
      </c>
      <c r="R53" s="616"/>
      <c r="S53" s="616">
        <v>339000</v>
      </c>
      <c r="T53" s="616">
        <v>318000</v>
      </c>
      <c r="U53" s="616">
        <v>398000</v>
      </c>
      <c r="V53" s="616">
        <v>260000</v>
      </c>
      <c r="W53" s="616">
        <v>16000</v>
      </c>
      <c r="X53" s="616">
        <v>250000</v>
      </c>
      <c r="Y53" s="616">
        <v>237000</v>
      </c>
      <c r="Z53" s="616">
        <v>309000</v>
      </c>
      <c r="AA53" s="616">
        <v>226000</v>
      </c>
      <c r="AB53" s="616">
        <v>311000</v>
      </c>
      <c r="AC53" s="1111"/>
      <c r="AD53" s="14"/>
    </row>
    <row r="54" spans="1:30">
      <c r="A54" s="1120"/>
      <c r="B54" s="1120"/>
      <c r="C54" s="616"/>
      <c r="D54" s="616"/>
      <c r="E54" s="9"/>
      <c r="F54" s="616"/>
      <c r="G54" s="616"/>
      <c r="H54" s="616"/>
      <c r="I54" s="616"/>
      <c r="J54" s="616"/>
      <c r="K54" s="616"/>
      <c r="L54" s="616"/>
      <c r="M54" s="616"/>
      <c r="N54" s="616"/>
      <c r="O54" s="616"/>
      <c r="P54" s="616"/>
      <c r="Q54" s="616"/>
      <c r="R54" s="616"/>
      <c r="S54" s="616"/>
      <c r="T54" s="616"/>
      <c r="U54" s="616"/>
      <c r="V54" s="616"/>
      <c r="W54" s="616"/>
      <c r="X54" s="616"/>
      <c r="Y54" s="616"/>
      <c r="Z54" s="616"/>
      <c r="AA54" s="616"/>
      <c r="AB54" s="616"/>
      <c r="AC54" s="1111"/>
    </row>
    <row r="55" spans="1:30">
      <c r="A55" s="1120"/>
      <c r="B55" s="1163" t="s">
        <v>85</v>
      </c>
      <c r="C55" s="1161"/>
      <c r="D55" s="616"/>
      <c r="E55" s="9"/>
      <c r="F55" s="616" t="e">
        <v>#REF!</v>
      </c>
      <c r="G55" s="616" t="e">
        <v>#REF!</v>
      </c>
      <c r="H55" s="616" t="e">
        <v>#REF!</v>
      </c>
      <c r="I55" s="616" t="e">
        <v>#REF!</v>
      </c>
      <c r="J55" s="616" t="e">
        <v>#REF!</v>
      </c>
      <c r="K55" s="616" t="e">
        <v>#REF!</v>
      </c>
      <c r="L55" s="616" t="e">
        <v>#REF!</v>
      </c>
      <c r="M55" s="616" t="e">
        <v>#REF!</v>
      </c>
      <c r="N55" s="616" t="e">
        <v>#REF!</v>
      </c>
      <c r="O55" s="616" t="e">
        <v>#REF!</v>
      </c>
      <c r="P55" s="616" t="e">
        <v>#REF!</v>
      </c>
      <c r="Q55" s="616" t="e">
        <v>#REF!</v>
      </c>
      <c r="R55" s="616"/>
      <c r="S55" s="616"/>
      <c r="T55" s="616"/>
      <c r="U55" s="616"/>
      <c r="V55" s="616"/>
      <c r="W55" s="616"/>
      <c r="X55" s="616"/>
      <c r="Y55" s="616"/>
      <c r="Z55" s="616"/>
      <c r="AA55" s="616"/>
      <c r="AB55" s="616"/>
      <c r="AC55" s="1111"/>
    </row>
    <row r="56" spans="1:30">
      <c r="A56" s="1120">
        <v>200</v>
      </c>
      <c r="B56" s="1111" t="s">
        <v>85</v>
      </c>
      <c r="D56" s="1111"/>
      <c r="E56" s="616"/>
      <c r="F56" s="616"/>
      <c r="G56" s="616" t="e">
        <v>#REF!</v>
      </c>
      <c r="H56" s="616" t="e">
        <v>#REF!</v>
      </c>
      <c r="I56" s="616" t="e">
        <v>#REF!</v>
      </c>
      <c r="J56" s="616" t="e">
        <v>#REF!</v>
      </c>
      <c r="K56" s="616" t="e">
        <v>#REF!</v>
      </c>
      <c r="L56" s="616" t="e">
        <v>#REF!</v>
      </c>
      <c r="M56" s="616" t="e">
        <v>#REF!</v>
      </c>
      <c r="N56" s="616" t="e">
        <v>#REF!</v>
      </c>
      <c r="O56" s="616">
        <v>-56323</v>
      </c>
      <c r="P56" s="616">
        <v>-56898</v>
      </c>
      <c r="Q56" s="616">
        <v>-73026</v>
      </c>
      <c r="R56" s="616"/>
      <c r="S56" s="616">
        <v>-72000</v>
      </c>
      <c r="T56" s="616">
        <v>-66000</v>
      </c>
      <c r="U56" s="616">
        <v>-77000</v>
      </c>
      <c r="V56" s="616">
        <v>-98000</v>
      </c>
      <c r="W56" s="616">
        <v>-101000</v>
      </c>
      <c r="X56" s="616">
        <v>-93000</v>
      </c>
      <c r="Y56" s="616">
        <v>-84000</v>
      </c>
      <c r="Z56" s="616">
        <v>-70000</v>
      </c>
      <c r="AA56" s="616">
        <v>-55000</v>
      </c>
      <c r="AB56" s="616">
        <v>-50000</v>
      </c>
    </row>
    <row r="57" spans="1:30">
      <c r="A57" s="1120">
        <v>210</v>
      </c>
      <c r="B57" s="1111" t="s">
        <v>73</v>
      </c>
      <c r="D57" s="1111"/>
      <c r="E57" s="616"/>
      <c r="F57" s="616"/>
      <c r="G57" s="702"/>
      <c r="H57" s="702"/>
      <c r="I57" s="702"/>
      <c r="J57" s="702"/>
      <c r="K57" s="702"/>
      <c r="L57" s="702"/>
      <c r="M57" s="702"/>
      <c r="N57" s="702"/>
      <c r="O57" s="702">
        <v>23888</v>
      </c>
      <c r="P57" s="702">
        <v>-14332</v>
      </c>
      <c r="Q57" s="702">
        <v>-32489</v>
      </c>
      <c r="R57" s="702"/>
      <c r="S57" s="702">
        <v>-11000</v>
      </c>
      <c r="T57" s="702">
        <v>11000</v>
      </c>
      <c r="U57" s="702">
        <v>7000</v>
      </c>
      <c r="V57" s="702"/>
      <c r="W57" s="702">
        <v>-21000</v>
      </c>
      <c r="X57" s="702">
        <v>23000</v>
      </c>
      <c r="Y57" s="702"/>
      <c r="Z57" s="702"/>
      <c r="AA57" s="702"/>
      <c r="AB57" s="702"/>
    </row>
    <row r="58" spans="1:30">
      <c r="A58" s="1120"/>
      <c r="B58" s="1120" t="s">
        <v>87</v>
      </c>
      <c r="D58" s="1111"/>
      <c r="E58" s="1121"/>
      <c r="F58" s="616" t="e">
        <v>#REF!</v>
      </c>
      <c r="G58" s="616" t="e">
        <v>#REF!</v>
      </c>
      <c r="H58" s="616" t="e">
        <v>#REF!</v>
      </c>
      <c r="I58" s="616" t="e">
        <v>#REF!</v>
      </c>
      <c r="J58" s="616" t="e">
        <v>#REF!</v>
      </c>
      <c r="K58" s="616" t="e">
        <v>#REF!</v>
      </c>
      <c r="L58" s="616" t="e">
        <v>#REF!</v>
      </c>
      <c r="M58" s="616" t="e">
        <v>#REF!</v>
      </c>
      <c r="N58" s="616" t="e">
        <v>#REF!</v>
      </c>
      <c r="O58" s="616" t="e">
        <v>#REF!</v>
      </c>
      <c r="P58" s="616" t="e">
        <v>#REF!</v>
      </c>
      <c r="Q58" s="616" t="e">
        <v>#REF!</v>
      </c>
      <c r="R58" s="616"/>
      <c r="S58" s="616">
        <v>-83000</v>
      </c>
      <c r="T58" s="616">
        <v>-55000</v>
      </c>
      <c r="U58" s="616">
        <v>-70000</v>
      </c>
      <c r="V58" s="616">
        <v>-98000</v>
      </c>
      <c r="W58" s="616">
        <v>-122000</v>
      </c>
      <c r="X58" s="616">
        <v>-70000</v>
      </c>
      <c r="Y58" s="616">
        <v>-84000</v>
      </c>
      <c r="Z58" s="616">
        <v>-70000</v>
      </c>
      <c r="AA58" s="616">
        <v>-55000</v>
      </c>
      <c r="AB58" s="616">
        <v>-50000</v>
      </c>
      <c r="AC58" s="1111"/>
    </row>
    <row r="59" spans="1:30">
      <c r="A59" s="1120"/>
      <c r="B59" s="1111"/>
      <c r="C59" s="1111"/>
      <c r="D59" s="1111"/>
      <c r="E59" s="1121"/>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1111"/>
    </row>
    <row r="60" spans="1:30">
      <c r="A60" s="1213" t="s">
        <v>88</v>
      </c>
      <c r="B60" s="1110"/>
      <c r="C60" s="1103"/>
      <c r="D60" s="724"/>
      <c r="E60" s="1121"/>
      <c r="F60" s="616" t="e">
        <v>#REF!</v>
      </c>
      <c r="G60" s="616" t="e">
        <v>#REF!</v>
      </c>
      <c r="H60" s="616" t="e">
        <v>#REF!</v>
      </c>
      <c r="I60" s="616" t="e">
        <v>#REF!</v>
      </c>
      <c r="J60" s="616" t="e">
        <v>#REF!</v>
      </c>
      <c r="K60" s="616" t="e">
        <v>#REF!</v>
      </c>
      <c r="L60" s="616" t="e">
        <v>#REF!</v>
      </c>
      <c r="M60" s="616" t="e">
        <v>#REF!</v>
      </c>
      <c r="N60" s="616" t="e">
        <v>#REF!</v>
      </c>
      <c r="O60" s="616" t="e">
        <v>#REF!</v>
      </c>
      <c r="P60" s="616" t="e">
        <v>#REF!</v>
      </c>
      <c r="Q60" s="616" t="e">
        <v>#REF!</v>
      </c>
      <c r="R60" s="616"/>
      <c r="S60" s="616">
        <v>256000</v>
      </c>
      <c r="T60" s="616">
        <v>263000</v>
      </c>
      <c r="U60" s="616">
        <v>328000</v>
      </c>
      <c r="V60" s="616">
        <v>162000</v>
      </c>
      <c r="W60" s="616">
        <v>-106000</v>
      </c>
      <c r="X60" s="616">
        <v>180000</v>
      </c>
      <c r="Y60" s="616">
        <v>153000</v>
      </c>
      <c r="Z60" s="616">
        <v>239000</v>
      </c>
      <c r="AA60" s="616">
        <v>171000</v>
      </c>
      <c r="AB60" s="616">
        <v>261000</v>
      </c>
      <c r="AC60" s="1111"/>
    </row>
    <row r="61" spans="1:30">
      <c r="A61" s="1161"/>
      <c r="B61" s="1126"/>
      <c r="C61" s="1126"/>
      <c r="D61" s="1111"/>
      <c r="E61" s="1121"/>
      <c r="F61" s="616"/>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row>
    <row r="62" spans="1:30">
      <c r="A62" s="1120">
        <v>710</v>
      </c>
      <c r="B62" s="1394" t="s">
        <v>96</v>
      </c>
      <c r="C62" s="1111"/>
      <c r="D62" s="1111"/>
      <c r="E62" s="1121"/>
      <c r="F62" s="616" t="e">
        <v>#REF!</v>
      </c>
      <c r="G62" s="616" t="e">
        <v>#REF!</v>
      </c>
      <c r="H62" s="616" t="e">
        <v>#REF!</v>
      </c>
      <c r="I62" s="616" t="e">
        <v>#REF!</v>
      </c>
      <c r="J62" s="616" t="e">
        <v>#REF!</v>
      </c>
      <c r="K62" s="616" t="e">
        <v>#REF!</v>
      </c>
      <c r="L62" s="616" t="e">
        <v>#REF!</v>
      </c>
      <c r="M62" s="616" t="e">
        <v>#REF!</v>
      </c>
      <c r="N62" s="616" t="e">
        <v>#REF!</v>
      </c>
      <c r="O62" s="616" t="e">
        <v>#REF!</v>
      </c>
      <c r="P62" s="616" t="e">
        <v>#REF!</v>
      </c>
      <c r="Q62" s="616" t="e">
        <v>#REF!</v>
      </c>
      <c r="R62" s="616"/>
      <c r="S62" s="616">
        <v>-53000</v>
      </c>
      <c r="T62" s="616">
        <v>-33000</v>
      </c>
      <c r="U62" s="616">
        <v>-58000</v>
      </c>
      <c r="V62" s="616">
        <v>-7000</v>
      </c>
      <c r="W62" s="616">
        <v>-19000</v>
      </c>
      <c r="X62" s="616">
        <v>-33000</v>
      </c>
      <c r="Y62" s="616">
        <v>-36000</v>
      </c>
      <c r="Z62" s="616">
        <v>-125000</v>
      </c>
      <c r="AA62" s="616">
        <v>-67000</v>
      </c>
      <c r="AB62" s="616">
        <v>-91000</v>
      </c>
      <c r="AC62" s="1111"/>
    </row>
    <row r="63" spans="1:30">
      <c r="A63" s="1120">
        <v>750</v>
      </c>
      <c r="B63" s="1394" t="s">
        <v>12</v>
      </c>
      <c r="C63" s="1111"/>
      <c r="D63" s="1111"/>
      <c r="E63" s="1121"/>
      <c r="F63" s="702" t="e">
        <v>#REF!</v>
      </c>
      <c r="G63" s="702" t="e">
        <v>#REF!</v>
      </c>
      <c r="H63" s="702" t="e">
        <v>#REF!</v>
      </c>
      <c r="I63" s="702" t="e">
        <v>#REF!</v>
      </c>
      <c r="J63" s="702" t="e">
        <v>#REF!</v>
      </c>
      <c r="K63" s="702" t="e">
        <v>#REF!</v>
      </c>
      <c r="L63" s="702" t="e">
        <v>#REF!</v>
      </c>
      <c r="M63" s="702" t="e">
        <v>#REF!</v>
      </c>
      <c r="N63" s="702" t="e">
        <v>#REF!</v>
      </c>
      <c r="O63" s="702" t="e">
        <v>#REF!</v>
      </c>
      <c r="P63" s="702" t="e">
        <v>#REF!</v>
      </c>
      <c r="Q63" s="702" t="e">
        <v>#REF!</v>
      </c>
      <c r="R63" s="702"/>
      <c r="S63" s="702">
        <v>-13000</v>
      </c>
      <c r="T63" s="702">
        <v>-31000</v>
      </c>
      <c r="U63" s="702">
        <v>-36000</v>
      </c>
      <c r="V63" s="702">
        <v>-22000</v>
      </c>
      <c r="W63" s="702">
        <v>59000</v>
      </c>
      <c r="X63" s="702">
        <v>-18000</v>
      </c>
      <c r="Y63" s="702">
        <v>-5000</v>
      </c>
      <c r="Z63" s="702">
        <v>56000</v>
      </c>
      <c r="AA63" s="702">
        <v>21000</v>
      </c>
      <c r="AB63" s="702">
        <v>17000</v>
      </c>
      <c r="AC63" s="1111"/>
    </row>
    <row r="64" spans="1:30">
      <c r="A64" s="1120"/>
      <c r="B64" s="1111" t="s">
        <v>89</v>
      </c>
      <c r="C64" s="1111"/>
      <c r="D64" s="1111"/>
      <c r="E64" s="1121"/>
      <c r="F64" s="616" t="e">
        <v>#REF!</v>
      </c>
      <c r="G64" s="616" t="e">
        <v>#REF!</v>
      </c>
      <c r="H64" s="616" t="e">
        <v>#REF!</v>
      </c>
      <c r="I64" s="616" t="e">
        <v>#REF!</v>
      </c>
      <c r="J64" s="616" t="e">
        <v>#REF!</v>
      </c>
      <c r="K64" s="616" t="e">
        <v>#REF!</v>
      </c>
      <c r="L64" s="616" t="e">
        <v>#REF!</v>
      </c>
      <c r="M64" s="616" t="e">
        <v>#REF!</v>
      </c>
      <c r="N64" s="616" t="e">
        <v>#REF!</v>
      </c>
      <c r="O64" s="616" t="e">
        <v>#REF!</v>
      </c>
      <c r="P64" s="616" t="e">
        <v>#REF!</v>
      </c>
      <c r="Q64" s="616" t="e">
        <v>#REF!</v>
      </c>
      <c r="R64" s="616">
        <v>0</v>
      </c>
      <c r="S64" s="616">
        <v>-66000</v>
      </c>
      <c r="T64" s="616">
        <v>-64000</v>
      </c>
      <c r="U64" s="616">
        <v>-94000</v>
      </c>
      <c r="V64" s="616">
        <v>-29000</v>
      </c>
      <c r="W64" s="616">
        <v>40000</v>
      </c>
      <c r="X64" s="616">
        <v>-51000</v>
      </c>
      <c r="Y64" s="616">
        <v>-41000</v>
      </c>
      <c r="Z64" s="616">
        <v>-69000</v>
      </c>
      <c r="AA64" s="616">
        <v>-46000</v>
      </c>
      <c r="AB64" s="616">
        <v>-74000</v>
      </c>
      <c r="AC64" s="1111"/>
    </row>
    <row r="65" spans="1:30">
      <c r="A65" s="1120"/>
      <c r="B65" s="1111"/>
      <c r="C65" s="1111"/>
      <c r="D65" s="1111"/>
      <c r="E65" s="1121"/>
      <c r="F65" s="616"/>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row>
    <row r="66" spans="1:30">
      <c r="A66" s="1213" t="s">
        <v>91</v>
      </c>
      <c r="B66" s="1110"/>
      <c r="C66" s="1161"/>
      <c r="D66" s="1134"/>
      <c r="E66" s="1121"/>
      <c r="F66" s="616" t="e">
        <v>#REF!</v>
      </c>
      <c r="G66" s="616" t="e">
        <v>#REF!</v>
      </c>
      <c r="H66" s="616" t="e">
        <v>#REF!</v>
      </c>
      <c r="I66" s="616" t="e">
        <v>#REF!</v>
      </c>
      <c r="J66" s="616" t="e">
        <v>#REF!</v>
      </c>
      <c r="K66" s="616" t="e">
        <v>#REF!</v>
      </c>
      <c r="L66" s="616" t="e">
        <v>#REF!</v>
      </c>
      <c r="M66" s="616" t="e">
        <v>#REF!</v>
      </c>
      <c r="N66" s="616" t="e">
        <v>#REF!</v>
      </c>
      <c r="O66" s="616" t="e">
        <v>#REF!</v>
      </c>
      <c r="P66" s="616" t="e">
        <v>#REF!</v>
      </c>
      <c r="Q66" s="616" t="e">
        <v>#REF!</v>
      </c>
      <c r="R66" s="616">
        <v>0</v>
      </c>
      <c r="S66" s="616">
        <v>190000</v>
      </c>
      <c r="T66" s="616">
        <v>199000</v>
      </c>
      <c r="U66" s="616">
        <v>234000</v>
      </c>
      <c r="V66" s="616">
        <v>133000</v>
      </c>
      <c r="W66" s="616">
        <v>-66000</v>
      </c>
      <c r="X66" s="616">
        <v>129000</v>
      </c>
      <c r="Y66" s="616">
        <v>112000</v>
      </c>
      <c r="Z66" s="616">
        <v>170000</v>
      </c>
      <c r="AA66" s="616">
        <v>125000</v>
      </c>
      <c r="AB66" s="616">
        <v>187000</v>
      </c>
      <c r="AC66" s="1111"/>
      <c r="AD66" s="14" t="s">
        <v>13</v>
      </c>
    </row>
    <row r="67" spans="1:30">
      <c r="A67" s="1120">
        <v>960</v>
      </c>
      <c r="B67" s="1111" t="s">
        <v>98</v>
      </c>
      <c r="C67" s="1121"/>
      <c r="D67" s="1120"/>
      <c r="E67" s="1121"/>
      <c r="F67" s="616" t="e">
        <v>#REF!</v>
      </c>
      <c r="G67" s="616" t="e">
        <v>#REF!</v>
      </c>
      <c r="H67" s="616" t="e">
        <v>#REF!</v>
      </c>
      <c r="I67" s="616" t="e">
        <v>#REF!</v>
      </c>
      <c r="J67" s="616" t="e">
        <v>#REF!</v>
      </c>
      <c r="K67" s="616" t="e">
        <v>#REF!</v>
      </c>
      <c r="L67" s="616" t="e">
        <v>#REF!</v>
      </c>
      <c r="M67" s="616" t="e">
        <v>#REF!</v>
      </c>
      <c r="N67" s="616" t="e">
        <v>#REF!</v>
      </c>
      <c r="O67" s="616" t="e">
        <v>#REF!</v>
      </c>
      <c r="P67" s="616" t="e">
        <v>#REF!</v>
      </c>
      <c r="Q67" s="616" t="e">
        <v>#REF!</v>
      </c>
      <c r="R67" s="616">
        <v>-153048</v>
      </c>
      <c r="S67" s="616">
        <v>-162000</v>
      </c>
      <c r="T67" s="616">
        <v>-167000</v>
      </c>
      <c r="U67" s="616">
        <v>-184000</v>
      </c>
      <c r="V67" s="616">
        <v>-558000</v>
      </c>
      <c r="W67" s="616">
        <v>-189000</v>
      </c>
      <c r="X67" s="616">
        <v>-186000</v>
      </c>
      <c r="Y67" s="616">
        <v>-201000</v>
      </c>
      <c r="Z67" s="616">
        <v>-251000</v>
      </c>
      <c r="AA67" s="616">
        <v>-280000</v>
      </c>
      <c r="AB67" s="616">
        <v>-274000</v>
      </c>
      <c r="AC67" s="1111"/>
    </row>
    <row r="68" spans="1:30" ht="13.5" thickBot="1">
      <c r="A68" s="1120">
        <v>980</v>
      </c>
      <c r="B68" s="1120" t="s">
        <v>99</v>
      </c>
      <c r="C68" s="1111"/>
      <c r="D68" s="1111"/>
      <c r="E68" s="1121"/>
      <c r="F68" s="725" t="e">
        <v>#REF!</v>
      </c>
      <c r="G68" s="725" t="e">
        <v>#REF!</v>
      </c>
      <c r="H68" s="725" t="e">
        <v>#REF!</v>
      </c>
      <c r="I68" s="725" t="e">
        <v>#REF!</v>
      </c>
      <c r="J68" s="725" t="e">
        <v>#REF!</v>
      </c>
      <c r="K68" s="725" t="e">
        <v>#REF!</v>
      </c>
      <c r="L68" s="725" t="e">
        <v>#REF!</v>
      </c>
      <c r="M68" s="725" t="e">
        <v>#REF!</v>
      </c>
      <c r="N68" s="725" t="e">
        <v>#REF!</v>
      </c>
      <c r="O68" s="725" t="e">
        <v>#REF!</v>
      </c>
      <c r="P68" s="725" t="e">
        <v>#REF!</v>
      </c>
      <c r="Q68" s="725" t="e">
        <v>#REF!</v>
      </c>
      <c r="R68" s="725"/>
      <c r="S68" s="725">
        <v>28000</v>
      </c>
      <c r="T68" s="725">
        <v>32000</v>
      </c>
      <c r="U68" s="725">
        <v>50000</v>
      </c>
      <c r="V68" s="725">
        <v>-425000</v>
      </c>
      <c r="W68" s="725">
        <v>-255000</v>
      </c>
      <c r="X68" s="725">
        <v>-57000</v>
      </c>
      <c r="Y68" s="725">
        <v>-89000</v>
      </c>
      <c r="Z68" s="725">
        <v>-81000</v>
      </c>
      <c r="AA68" s="725">
        <v>-155000</v>
      </c>
      <c r="AB68" s="725">
        <v>-87000</v>
      </c>
      <c r="AC68" s="1111"/>
    </row>
    <row r="69" spans="1:30" ht="13.5" thickTop="1">
      <c r="A69" s="1120"/>
      <c r="B69" s="1111"/>
      <c r="C69" s="1121"/>
      <c r="D69" s="1111"/>
      <c r="E69" s="1328" t="s">
        <v>93</v>
      </c>
      <c r="F69" s="707"/>
      <c r="G69" s="707"/>
      <c r="H69" s="707"/>
      <c r="I69" s="707"/>
      <c r="J69" s="707"/>
      <c r="K69" s="707"/>
      <c r="L69" s="707"/>
      <c r="M69" s="707"/>
      <c r="N69" s="707"/>
      <c r="O69" s="707"/>
      <c r="P69" s="707"/>
      <c r="Q69" s="707"/>
      <c r="R69" s="707"/>
      <c r="S69" s="707">
        <v>0</v>
      </c>
      <c r="T69" s="707">
        <v>0</v>
      </c>
      <c r="U69" s="707">
        <v>0</v>
      </c>
      <c r="V69" s="707">
        <v>0</v>
      </c>
      <c r="W69" s="707">
        <v>0</v>
      </c>
      <c r="X69" s="707">
        <v>0</v>
      </c>
      <c r="Y69" s="707">
        <v>0</v>
      </c>
      <c r="Z69" s="707">
        <v>0</v>
      </c>
      <c r="AA69" s="707">
        <v>0</v>
      </c>
      <c r="AB69" s="707">
        <v>0</v>
      </c>
      <c r="AC69" s="1111"/>
    </row>
    <row r="70" spans="1:30">
      <c r="A70" s="4" t="s">
        <v>954</v>
      </c>
      <c r="B70" s="4"/>
      <c r="C70" s="4"/>
      <c r="D70" s="4"/>
      <c r="E70" s="4"/>
      <c r="F70" s="43"/>
      <c r="G70" s="43"/>
      <c r="H70" s="43"/>
      <c r="I70" s="43"/>
      <c r="J70" s="43"/>
      <c r="K70" s="43"/>
      <c r="L70" s="43"/>
      <c r="M70" s="43"/>
      <c r="N70" s="43"/>
      <c r="O70" s="43"/>
      <c r="P70" s="43"/>
      <c r="Q70" s="43"/>
      <c r="R70" s="43"/>
      <c r="S70" s="43"/>
      <c r="T70" s="43"/>
      <c r="U70" s="43"/>
      <c r="V70" s="43"/>
      <c r="W70" s="43"/>
      <c r="X70" s="43"/>
      <c r="Y70" s="43"/>
      <c r="Z70" s="43"/>
      <c r="AA70" s="43"/>
      <c r="AB70" s="43"/>
      <c r="AC70" s="34"/>
      <c r="AD70" s="34"/>
    </row>
    <row r="71" spans="1:30">
      <c r="A71" s="1120">
        <v>120</v>
      </c>
      <c r="B71" s="1111" t="s">
        <v>73</v>
      </c>
      <c r="C71" s="1111"/>
      <c r="D71" s="616"/>
      <c r="E71" s="616"/>
      <c r="F71" s="616"/>
      <c r="G71" s="616"/>
      <c r="H71" s="616"/>
      <c r="I71" s="616"/>
      <c r="J71" s="616"/>
      <c r="K71" s="616"/>
      <c r="L71" s="616"/>
      <c r="M71" s="616"/>
      <c r="N71" s="616">
        <v>658</v>
      </c>
      <c r="O71" s="616">
        <v>45497</v>
      </c>
      <c r="P71" s="616">
        <v>-114109</v>
      </c>
      <c r="Q71" s="616">
        <v>-14872</v>
      </c>
      <c r="R71" s="616"/>
      <c r="S71" s="616"/>
      <c r="T71" s="616"/>
      <c r="U71" s="616"/>
      <c r="V71" s="616">
        <v>-37000</v>
      </c>
      <c r="W71" s="616"/>
      <c r="X71" s="616"/>
      <c r="Y71" s="616"/>
      <c r="Z71" s="616">
        <v>2000</v>
      </c>
      <c r="AA71" s="616"/>
      <c r="AB71" s="616">
        <v>7000</v>
      </c>
      <c r="AC71" s="1111"/>
      <c r="AD71" s="34"/>
    </row>
    <row r="72" spans="1:30">
      <c r="A72" s="1120">
        <v>210</v>
      </c>
      <c r="B72" s="1111"/>
      <c r="C72" s="1111" t="s">
        <v>73</v>
      </c>
      <c r="D72" s="1111"/>
      <c r="E72" s="616"/>
      <c r="F72" s="616"/>
      <c r="G72" s="702"/>
      <c r="H72" s="702"/>
      <c r="I72" s="702"/>
      <c r="J72" s="702"/>
      <c r="K72" s="702"/>
      <c r="L72" s="702"/>
      <c r="M72" s="702"/>
      <c r="N72" s="702"/>
      <c r="O72" s="702">
        <v>23888</v>
      </c>
      <c r="P72" s="702">
        <v>-14332</v>
      </c>
      <c r="Q72" s="702">
        <v>-32489</v>
      </c>
      <c r="R72" s="702">
        <v>-23296</v>
      </c>
      <c r="S72" s="702"/>
      <c r="T72" s="702">
        <v>-11000</v>
      </c>
      <c r="U72" s="702">
        <v>11000</v>
      </c>
      <c r="V72" s="702">
        <v>7000</v>
      </c>
      <c r="W72" s="702"/>
      <c r="X72" s="702">
        <v>-21000</v>
      </c>
      <c r="Y72" s="702">
        <v>23000</v>
      </c>
      <c r="Z72" s="702"/>
      <c r="AA72" s="702"/>
      <c r="AB72" s="702"/>
      <c r="AC72" s="1111"/>
      <c r="AD72" s="34"/>
    </row>
    <row r="73" spans="1:30">
      <c r="A73" s="1121"/>
      <c r="F73" s="34"/>
      <c r="G73" s="34"/>
      <c r="H73" s="34"/>
      <c r="I73" s="34"/>
      <c r="J73" s="34"/>
      <c r="K73" s="34"/>
      <c r="L73" s="34"/>
      <c r="M73" s="34"/>
      <c r="N73" s="34"/>
      <c r="O73" s="34"/>
      <c r="P73" s="34"/>
      <c r="Q73" s="34"/>
      <c r="R73" s="45">
        <v>-23296</v>
      </c>
      <c r="S73" s="45">
        <v>0</v>
      </c>
      <c r="T73" s="45">
        <v>-11000</v>
      </c>
      <c r="U73" s="45">
        <v>11000</v>
      </c>
      <c r="V73" s="45">
        <v>-30000</v>
      </c>
      <c r="W73" s="45">
        <v>0</v>
      </c>
      <c r="X73" s="45">
        <v>-21000</v>
      </c>
      <c r="Y73" s="45">
        <v>23000</v>
      </c>
      <c r="Z73" s="45">
        <v>2000</v>
      </c>
      <c r="AA73" s="45">
        <v>0</v>
      </c>
      <c r="AB73" s="45">
        <v>7000</v>
      </c>
      <c r="AC73" s="34"/>
      <c r="AD73" s="34"/>
    </row>
    <row r="74" spans="1:30">
      <c r="A74" s="1121"/>
      <c r="C74" t="s">
        <v>468</v>
      </c>
      <c r="F74" s="34"/>
      <c r="G74" s="34"/>
      <c r="H74" s="34"/>
      <c r="I74" s="34"/>
      <c r="J74" s="34"/>
      <c r="K74" s="34"/>
      <c r="L74" s="34"/>
      <c r="M74" s="34"/>
      <c r="N74" s="34"/>
      <c r="O74" s="34"/>
      <c r="P74" s="34"/>
      <c r="Q74" s="34"/>
      <c r="R74" s="576">
        <v>-23296</v>
      </c>
      <c r="S74" s="576">
        <v>23296</v>
      </c>
      <c r="T74" s="576">
        <v>-11000</v>
      </c>
      <c r="U74" s="576">
        <v>22000</v>
      </c>
      <c r="V74" s="576">
        <v>-41000</v>
      </c>
      <c r="W74" s="576">
        <v>30000</v>
      </c>
      <c r="X74" s="576">
        <v>-21000</v>
      </c>
      <c r="Y74" s="576">
        <v>44000</v>
      </c>
      <c r="Z74" s="576">
        <v>-21000</v>
      </c>
      <c r="AA74" s="576">
        <v>-2000</v>
      </c>
      <c r="AB74" s="576">
        <v>7000</v>
      </c>
      <c r="AC74" s="34"/>
      <c r="AD74" s="34"/>
    </row>
    <row r="75" spans="1:30">
      <c r="A75" s="1121"/>
      <c r="F75" s="34"/>
      <c r="G75" s="34"/>
      <c r="H75" s="34"/>
      <c r="I75" s="34"/>
      <c r="J75" s="34"/>
      <c r="K75" s="34"/>
      <c r="L75" s="34"/>
      <c r="M75" s="34"/>
      <c r="N75" s="34"/>
      <c r="O75" s="34"/>
      <c r="P75" s="34"/>
      <c r="Q75" s="34"/>
      <c r="R75" s="616">
        <v>-5940</v>
      </c>
      <c r="S75" s="616">
        <v>-11507</v>
      </c>
      <c r="T75" s="616">
        <v>11000</v>
      </c>
      <c r="U75" s="616">
        <v>7000</v>
      </c>
      <c r="V75" s="616">
        <v>-37000</v>
      </c>
      <c r="W75" s="616">
        <v>-21000</v>
      </c>
      <c r="X75" s="616">
        <v>23000</v>
      </c>
      <c r="Y75" s="616">
        <v>3000</v>
      </c>
      <c r="Z75" s="616">
        <v>2000</v>
      </c>
      <c r="AA75" s="616">
        <v>0</v>
      </c>
      <c r="AB75" s="616">
        <v>7000</v>
      </c>
      <c r="AC75" s="34"/>
      <c r="AD75" s="34"/>
    </row>
    <row r="76" spans="1:30">
      <c r="A76" s="1121"/>
      <c r="F76" s="34"/>
      <c r="G76" s="34"/>
      <c r="H76" s="34"/>
      <c r="I76" s="34"/>
      <c r="J76" s="34"/>
      <c r="K76" s="34"/>
      <c r="L76" s="34"/>
      <c r="M76" s="34"/>
      <c r="N76" s="34"/>
      <c r="O76" s="34"/>
      <c r="P76" s="34"/>
      <c r="Q76" s="34"/>
      <c r="R76" s="616"/>
      <c r="S76" s="616"/>
      <c r="T76" s="616"/>
      <c r="U76" s="616"/>
      <c r="V76" s="616"/>
      <c r="W76" s="616"/>
      <c r="X76" s="616"/>
      <c r="Y76" s="616"/>
      <c r="Z76" s="616"/>
      <c r="AA76" s="616"/>
      <c r="AB76" s="616"/>
      <c r="AC76" s="34"/>
      <c r="AD76" s="34"/>
    </row>
    <row r="77" spans="1:30">
      <c r="A77" s="1159"/>
      <c r="B77" s="1159"/>
      <c r="C77" s="1159"/>
      <c r="D77" s="1159"/>
      <c r="E77" s="1159"/>
      <c r="F77" s="1123"/>
      <c r="G77" s="1123"/>
      <c r="H77" s="1123"/>
      <c r="I77" s="1123"/>
      <c r="J77" s="1123"/>
      <c r="K77" s="1123"/>
      <c r="L77" s="1123"/>
      <c r="M77" s="1123"/>
      <c r="N77" s="1123"/>
      <c r="O77" s="1123"/>
      <c r="P77" s="1123"/>
      <c r="Q77" s="1123"/>
      <c r="R77" s="1123"/>
      <c r="S77" s="1153"/>
      <c r="T77" s="1153"/>
      <c r="U77" s="1153"/>
      <c r="V77" s="1153"/>
      <c r="W77" s="1153"/>
      <c r="X77" s="1153"/>
      <c r="Y77" s="1153"/>
      <c r="Z77" s="1153"/>
      <c r="AA77" s="1153"/>
      <c r="AB77" s="1153"/>
      <c r="AC77" s="34"/>
      <c r="AD77" s="34"/>
    </row>
    <row r="78" spans="1:30" ht="18">
      <c r="A78" s="1218" t="s">
        <v>0</v>
      </c>
      <c r="B78" s="1219"/>
      <c r="C78" s="1218"/>
      <c r="D78" s="1219"/>
      <c r="E78" s="1497"/>
      <c r="F78" s="1498"/>
      <c r="G78" s="1498"/>
      <c r="H78" s="1498"/>
      <c r="I78" s="1498"/>
      <c r="J78" s="1498"/>
      <c r="K78" s="1498"/>
      <c r="L78" s="1498"/>
      <c r="M78" s="1498"/>
      <c r="N78" s="1498"/>
      <c r="O78" s="1498"/>
      <c r="P78" s="1498"/>
      <c r="Q78" s="1498"/>
      <c r="R78" s="1498"/>
      <c r="S78" s="1498"/>
      <c r="T78" s="1188"/>
      <c r="U78" s="946"/>
      <c r="V78" s="1220"/>
      <c r="W78" s="1555" t="s">
        <v>41</v>
      </c>
      <c r="X78" s="1556"/>
      <c r="Y78" s="1556"/>
      <c r="Z78" s="1556"/>
      <c r="AA78" s="1557"/>
      <c r="AB78" s="1083">
        <v>4.0999999999999996</v>
      </c>
      <c r="AC78" s="34"/>
      <c r="AD78" s="34"/>
    </row>
    <row r="79" spans="1:30" ht="15.75">
      <c r="A79" s="630" t="s">
        <v>41</v>
      </c>
      <c r="B79" s="720"/>
      <c r="C79" s="720"/>
      <c r="D79" s="720"/>
      <c r="E79" s="34"/>
      <c r="F79" s="34">
        <v>0</v>
      </c>
      <c r="G79" s="34">
        <v>1</v>
      </c>
      <c r="H79" s="34">
        <v>2</v>
      </c>
      <c r="I79" s="34">
        <v>3</v>
      </c>
      <c r="J79" s="34">
        <v>4</v>
      </c>
      <c r="K79" s="34">
        <v>5</v>
      </c>
      <c r="L79" s="34">
        <v>6</v>
      </c>
      <c r="M79" s="34">
        <v>7</v>
      </c>
      <c r="N79" s="34">
        <v>8</v>
      </c>
      <c r="O79" s="34">
        <v>9</v>
      </c>
      <c r="P79" s="34">
        <v>10</v>
      </c>
      <c r="Q79" s="34">
        <v>11</v>
      </c>
      <c r="R79" s="34">
        <v>0</v>
      </c>
      <c r="S79" s="34">
        <v>1</v>
      </c>
      <c r="T79" s="34">
        <v>2</v>
      </c>
      <c r="U79" s="34">
        <v>3</v>
      </c>
      <c r="V79" s="34">
        <v>4</v>
      </c>
      <c r="W79" s="34">
        <v>5</v>
      </c>
      <c r="X79" s="34">
        <v>6</v>
      </c>
      <c r="Y79" s="34">
        <v>7</v>
      </c>
      <c r="Z79" s="34">
        <v>8</v>
      </c>
      <c r="AA79" s="34">
        <v>9</v>
      </c>
      <c r="AB79" s="34">
        <v>10</v>
      </c>
    </row>
    <row r="80" spans="1:30">
      <c r="A80" s="34" t="s">
        <v>42</v>
      </c>
      <c r="D80" s="1276" t="s">
        <v>43</v>
      </c>
      <c r="E80" s="1276" t="s">
        <v>44</v>
      </c>
      <c r="F80" s="980">
        <v>1999</v>
      </c>
      <c r="G80" s="980">
        <v>2000</v>
      </c>
      <c r="H80" s="980">
        <v>2001</v>
      </c>
      <c r="I80" s="980">
        <v>2002</v>
      </c>
      <c r="J80" s="980">
        <v>2003</v>
      </c>
      <c r="K80" s="980">
        <v>2004</v>
      </c>
      <c r="L80" s="980">
        <v>2005</v>
      </c>
      <c r="M80" s="980">
        <v>2006</v>
      </c>
      <c r="N80" s="980">
        <v>2007</v>
      </c>
      <c r="O80" s="980">
        <v>2008</v>
      </c>
      <c r="P80" s="980">
        <v>2009</v>
      </c>
      <c r="Q80" s="980">
        <v>2010</v>
      </c>
      <c r="R80" s="1179">
        <v>2011</v>
      </c>
      <c r="S80" s="1179">
        <v>2012</v>
      </c>
      <c r="T80" s="1179">
        <v>2013</v>
      </c>
      <c r="U80" s="1179">
        <v>2014</v>
      </c>
      <c r="V80" s="1179">
        <v>2015</v>
      </c>
      <c r="W80" s="1179">
        <v>2016</v>
      </c>
      <c r="X80" s="1179">
        <v>2017</v>
      </c>
      <c r="Y80" s="1179">
        <v>2018</v>
      </c>
      <c r="Z80" s="1179">
        <v>2019</v>
      </c>
      <c r="AA80" s="1179">
        <v>2020</v>
      </c>
      <c r="AB80" s="1179">
        <v>2021</v>
      </c>
    </row>
    <row r="81" spans="1:28">
      <c r="A81" s="721" t="s">
        <v>45</v>
      </c>
      <c r="B81" s="43"/>
      <c r="C81" s="43"/>
      <c r="D81" s="702"/>
      <c r="E81" s="616"/>
      <c r="F81" s="700" t="s">
        <v>46</v>
      </c>
      <c r="G81" s="700"/>
      <c r="H81" s="700"/>
      <c r="I81" s="700"/>
      <c r="J81" s="700"/>
      <c r="K81" s="700"/>
      <c r="L81" s="699"/>
      <c r="M81" s="700"/>
      <c r="N81" s="700"/>
      <c r="O81" s="700"/>
      <c r="P81" s="700"/>
      <c r="Q81" s="700"/>
      <c r="R81" s="700"/>
      <c r="S81" s="700"/>
      <c r="T81" s="700"/>
      <c r="U81" s="700"/>
      <c r="V81" s="700"/>
      <c r="W81" s="700"/>
      <c r="X81" s="700"/>
      <c r="Y81" s="1496" t="s">
        <v>1173</v>
      </c>
      <c r="Z81" s="1496"/>
      <c r="AA81" s="1496"/>
      <c r="AB81" s="1496"/>
    </row>
    <row r="82" spans="1:28">
      <c r="A82" s="34"/>
      <c r="B82" s="34" t="s">
        <v>47</v>
      </c>
      <c r="C82" s="34"/>
      <c r="D82" s="616"/>
      <c r="E82" s="616"/>
      <c r="F82" s="616">
        <v>138295</v>
      </c>
      <c r="G82" s="616">
        <v>570280</v>
      </c>
      <c r="H82" s="616">
        <v>768095</v>
      </c>
      <c r="I82" s="616">
        <v>1121171</v>
      </c>
      <c r="J82" s="616">
        <v>1361241</v>
      </c>
      <c r="K82" s="616">
        <v>1297154</v>
      </c>
      <c r="L82" s="616">
        <v>1642774</v>
      </c>
      <c r="M82" s="616">
        <v>2176848</v>
      </c>
      <c r="N82" s="616">
        <v>1771174</v>
      </c>
      <c r="O82" s="616">
        <v>2578128</v>
      </c>
      <c r="P82" s="616">
        <v>1865340</v>
      </c>
      <c r="Q82" s="616">
        <v>2023136</v>
      </c>
      <c r="R82" s="616"/>
      <c r="S82" s="616"/>
      <c r="T82" s="616"/>
      <c r="U82" s="616"/>
      <c r="V82" s="616">
        <v>951000</v>
      </c>
      <c r="W82" s="616">
        <v>903000</v>
      </c>
      <c r="X82" s="616">
        <v>891000</v>
      </c>
      <c r="Y82" s="616">
        <v>883000</v>
      </c>
      <c r="Z82" s="616">
        <v>862000</v>
      </c>
      <c r="AA82" s="616">
        <v>860000</v>
      </c>
      <c r="AB82" s="616">
        <v>838000</v>
      </c>
    </row>
    <row r="83" spans="1:28">
      <c r="A83" s="34"/>
      <c r="B83" s="34" t="s">
        <v>48</v>
      </c>
      <c r="C83" s="34"/>
      <c r="D83" s="616"/>
      <c r="E83" s="616"/>
      <c r="F83" s="616"/>
      <c r="G83" s="616"/>
      <c r="H83" s="616"/>
      <c r="I83" s="616"/>
      <c r="J83" s="616"/>
      <c r="K83" s="616"/>
      <c r="L83" s="616"/>
      <c r="M83" s="616"/>
      <c r="N83" s="616"/>
      <c r="O83" s="616"/>
      <c r="P83" s="616"/>
      <c r="Q83" s="616"/>
      <c r="R83" s="616"/>
      <c r="S83" s="616"/>
      <c r="T83" s="616"/>
      <c r="U83" s="616"/>
      <c r="V83" s="616"/>
      <c r="W83" s="616"/>
      <c r="X83" s="616"/>
      <c r="Y83" s="616">
        <v>432000</v>
      </c>
      <c r="Z83" s="616">
        <v>388000</v>
      </c>
      <c r="AA83" s="616">
        <v>275000</v>
      </c>
      <c r="AB83" s="616">
        <v>249000</v>
      </c>
    </row>
    <row r="84" spans="1:28">
      <c r="A84" s="34"/>
      <c r="B84" s="34" t="s">
        <v>49</v>
      </c>
      <c r="C84" s="34"/>
      <c r="D84" s="616"/>
      <c r="E84" s="616"/>
      <c r="F84" s="616"/>
      <c r="G84" s="616"/>
      <c r="H84" s="616"/>
      <c r="I84" s="616"/>
      <c r="J84" s="616"/>
      <c r="K84" s="616"/>
      <c r="L84" s="616"/>
      <c r="M84" s="616"/>
      <c r="N84" s="616"/>
      <c r="O84" s="616"/>
      <c r="P84" s="616"/>
      <c r="Q84" s="616"/>
      <c r="R84" s="616"/>
      <c r="S84" s="616"/>
      <c r="T84" s="616"/>
      <c r="U84" s="616"/>
      <c r="V84" s="616"/>
      <c r="W84" s="616"/>
      <c r="X84" s="616"/>
      <c r="Y84" s="616">
        <v>20000</v>
      </c>
      <c r="Z84" s="616">
        <v>31000</v>
      </c>
      <c r="AA84" s="616">
        <v>16000</v>
      </c>
      <c r="AB84" s="616">
        <v>44000</v>
      </c>
    </row>
    <row r="85" spans="1:28">
      <c r="A85" s="34"/>
      <c r="B85" s="34" t="s">
        <v>1190</v>
      </c>
      <c r="C85" s="34"/>
      <c r="D85" s="616"/>
      <c r="E85" s="616"/>
      <c r="F85" s="616"/>
      <c r="G85" s="616"/>
      <c r="H85" s="616"/>
      <c r="I85" s="616"/>
      <c r="J85" s="616"/>
      <c r="K85" s="616"/>
      <c r="L85" s="616"/>
      <c r="M85" s="616"/>
      <c r="N85" s="616"/>
      <c r="O85" s="616"/>
      <c r="P85" s="616"/>
      <c r="Q85" s="616"/>
      <c r="R85" s="616"/>
      <c r="S85" s="616"/>
      <c r="T85" s="616"/>
      <c r="U85" s="616"/>
      <c r="V85" s="616">
        <v>563000</v>
      </c>
      <c r="W85" s="616">
        <v>501000</v>
      </c>
      <c r="X85" s="616">
        <v>473000</v>
      </c>
      <c r="Y85" s="616"/>
      <c r="Z85" s="616"/>
      <c r="AA85" s="616"/>
      <c r="AB85" s="616"/>
    </row>
    <row r="86" spans="1:28">
      <c r="A86" s="34"/>
      <c r="B86" s="34" t="s">
        <v>50</v>
      </c>
      <c r="C86" s="34"/>
      <c r="D86" s="616"/>
      <c r="E86" s="616"/>
      <c r="F86" s="616"/>
      <c r="G86" s="616"/>
      <c r="H86" s="616"/>
      <c r="I86" s="616"/>
      <c r="J86" s="616"/>
      <c r="K86" s="616"/>
      <c r="L86" s="616"/>
      <c r="M86" s="616"/>
      <c r="N86" s="616">
        <v>0</v>
      </c>
      <c r="O86" s="616">
        <v>0</v>
      </c>
      <c r="P86" s="616">
        <v>0</v>
      </c>
      <c r="Q86" s="616">
        <v>0</v>
      </c>
      <c r="R86" s="616"/>
      <c r="S86" s="616">
        <v>963000</v>
      </c>
      <c r="T86" s="616">
        <v>742000</v>
      </c>
      <c r="U86" s="616">
        <v>641000</v>
      </c>
      <c r="V86" s="616">
        <v>693000</v>
      </c>
      <c r="W86" s="616">
        <v>543000</v>
      </c>
      <c r="X86" s="616">
        <v>492000</v>
      </c>
      <c r="Y86" s="616">
        <v>705000</v>
      </c>
      <c r="Z86" s="616">
        <v>1044000</v>
      </c>
      <c r="AA86" s="616">
        <v>791000</v>
      </c>
      <c r="AB86" s="616">
        <v>1285000</v>
      </c>
    </row>
    <row r="87" spans="1:28">
      <c r="A87" s="34"/>
      <c r="B87" s="34" t="s">
        <v>51</v>
      </c>
      <c r="C87" s="34"/>
      <c r="D87" s="616"/>
      <c r="E87" s="616"/>
      <c r="F87" s="616"/>
      <c r="G87" s="616"/>
      <c r="H87" s="616"/>
      <c r="I87" s="616"/>
      <c r="J87" s="616"/>
      <c r="K87" s="616"/>
      <c r="L87" s="616"/>
      <c r="M87" s="616"/>
      <c r="N87" s="616">
        <v>5393</v>
      </c>
      <c r="O87" s="616">
        <v>5511</v>
      </c>
      <c r="P87" s="616">
        <v>6595</v>
      </c>
      <c r="Q87" s="616">
        <v>16463</v>
      </c>
      <c r="R87" s="616"/>
      <c r="S87" s="616"/>
      <c r="T87" s="616"/>
      <c r="U87" s="616"/>
      <c r="V87" s="616"/>
      <c r="W87" s="616"/>
      <c r="X87" s="616"/>
      <c r="Y87" s="616">
        <v>7000</v>
      </c>
      <c r="Z87" s="616">
        <v>10000</v>
      </c>
      <c r="AA87" s="616">
        <v>8000</v>
      </c>
      <c r="AB87" s="616">
        <v>8000</v>
      </c>
    </row>
    <row r="88" spans="1:28">
      <c r="A88" s="34"/>
      <c r="B88" s="34" t="s">
        <v>1195</v>
      </c>
      <c r="C88" s="34"/>
      <c r="D88" s="616"/>
      <c r="E88" s="616"/>
      <c r="F88" s="616"/>
      <c r="G88" s="616"/>
      <c r="H88" s="616"/>
      <c r="I88" s="616"/>
      <c r="J88" s="616"/>
      <c r="K88" s="616"/>
      <c r="L88" s="616"/>
      <c r="M88" s="616"/>
      <c r="N88" s="616"/>
      <c r="O88" s="616"/>
      <c r="P88" s="616"/>
      <c r="Q88" s="616"/>
      <c r="R88" s="616"/>
      <c r="S88" s="616">
        <v>1490000</v>
      </c>
      <c r="T88" s="616">
        <v>1532000</v>
      </c>
      <c r="U88" s="616">
        <v>1534000</v>
      </c>
      <c r="V88" s="616"/>
      <c r="W88" s="616"/>
      <c r="X88" s="616"/>
      <c r="Y88" s="616"/>
      <c r="Z88" s="616"/>
      <c r="AA88" s="616"/>
      <c r="AB88" s="616"/>
    </row>
    <row r="89" spans="1:28">
      <c r="A89" s="34"/>
      <c r="B89" s="34" t="s">
        <v>52</v>
      </c>
      <c r="C89" s="34"/>
      <c r="D89" s="616"/>
      <c r="E89" s="616"/>
      <c r="F89" s="616"/>
      <c r="G89" s="616"/>
      <c r="H89" s="616"/>
      <c r="I89" s="616"/>
      <c r="J89" s="616"/>
      <c r="K89" s="616"/>
      <c r="L89" s="616"/>
      <c r="M89" s="616"/>
      <c r="N89" s="616"/>
      <c r="O89" s="616"/>
      <c r="P89" s="616"/>
      <c r="Q89" s="616"/>
      <c r="R89" s="616"/>
      <c r="S89" s="616">
        <v>92000</v>
      </c>
      <c r="T89" s="616">
        <v>92000</v>
      </c>
      <c r="U89" s="616">
        <v>83000</v>
      </c>
      <c r="V89" s="616">
        <v>81000</v>
      </c>
      <c r="W89" s="616">
        <v>63000</v>
      </c>
      <c r="X89" s="616">
        <v>66000</v>
      </c>
      <c r="Y89" s="616">
        <v>75000</v>
      </c>
      <c r="Z89" s="616">
        <v>76000</v>
      </c>
      <c r="AA89" s="616">
        <v>75000</v>
      </c>
      <c r="AB89" s="616">
        <v>76000</v>
      </c>
    </row>
    <row r="90" spans="1:28">
      <c r="A90" s="34"/>
      <c r="B90" s="34" t="s">
        <v>53</v>
      </c>
      <c r="C90" s="34"/>
      <c r="D90" s="616"/>
      <c r="E90" s="616"/>
      <c r="F90" s="616"/>
      <c r="G90" s="616"/>
      <c r="H90" s="616"/>
      <c r="I90" s="616"/>
      <c r="J90" s="616"/>
      <c r="K90" s="616"/>
      <c r="L90" s="616"/>
      <c r="M90" s="616"/>
      <c r="N90" s="616"/>
      <c r="O90" s="616"/>
      <c r="P90" s="616"/>
      <c r="Q90" s="616"/>
      <c r="R90" s="616"/>
      <c r="S90" s="616">
        <v>20000</v>
      </c>
      <c r="T90" s="616">
        <v>19000</v>
      </c>
      <c r="U90" s="616">
        <v>20000</v>
      </c>
      <c r="V90" s="616">
        <v>21000</v>
      </c>
      <c r="W90" s="616">
        <v>26000</v>
      </c>
      <c r="X90" s="616">
        <v>25000</v>
      </c>
      <c r="Y90" s="616">
        <v>25000</v>
      </c>
      <c r="Z90" s="616">
        <v>27000</v>
      </c>
      <c r="AA90" s="616">
        <v>26000</v>
      </c>
      <c r="AB90" s="616">
        <v>28000</v>
      </c>
    </row>
    <row r="91" spans="1:28">
      <c r="A91" s="34"/>
      <c r="B91" s="34" t="s">
        <v>54</v>
      </c>
      <c r="C91" s="34"/>
      <c r="D91" s="616"/>
      <c r="E91" s="616"/>
      <c r="F91" s="616"/>
      <c r="G91" s="616"/>
      <c r="H91" s="616"/>
      <c r="I91" s="616"/>
      <c r="J91" s="616"/>
      <c r="K91" s="616"/>
      <c r="L91" s="616"/>
      <c r="M91" s="616"/>
      <c r="N91" s="616"/>
      <c r="O91" s="616"/>
      <c r="P91" s="616"/>
      <c r="Q91" s="616"/>
      <c r="R91" s="616"/>
      <c r="S91" s="616"/>
      <c r="T91" s="616"/>
      <c r="U91" s="616"/>
      <c r="V91" s="616"/>
      <c r="W91" s="616"/>
      <c r="X91" s="616"/>
      <c r="Y91" s="616"/>
      <c r="Z91" s="616"/>
      <c r="AA91" s="616">
        <v>0</v>
      </c>
      <c r="AB91" s="616">
        <v>3000</v>
      </c>
    </row>
    <row r="92" spans="1:28">
      <c r="A92" s="34"/>
      <c r="B92" s="34" t="s">
        <v>55</v>
      </c>
      <c r="C92" s="34"/>
      <c r="D92" s="616"/>
      <c r="E92" s="616"/>
      <c r="F92" s="616"/>
      <c r="G92" s="616"/>
      <c r="H92" s="616"/>
      <c r="I92" s="616"/>
      <c r="J92" s="616"/>
      <c r="K92" s="616"/>
      <c r="L92" s="616"/>
      <c r="M92" s="616"/>
      <c r="N92" s="616"/>
      <c r="O92" s="616"/>
      <c r="P92" s="616"/>
      <c r="Q92" s="616"/>
      <c r="R92" s="616"/>
      <c r="S92" s="616"/>
      <c r="T92" s="616"/>
      <c r="U92" s="616"/>
      <c r="V92" s="616"/>
      <c r="W92" s="616"/>
      <c r="X92" s="616"/>
      <c r="Y92" s="616">
        <v>1000</v>
      </c>
      <c r="Z92" s="616">
        <v>7000</v>
      </c>
      <c r="AA92" s="616">
        <v>17000</v>
      </c>
      <c r="AB92" s="616">
        <v>32000</v>
      </c>
    </row>
    <row r="93" spans="1:28">
      <c r="A93" s="34"/>
      <c r="B93" s="34" t="s">
        <v>1169</v>
      </c>
      <c r="C93" s="34"/>
      <c r="D93" s="616"/>
      <c r="E93" s="616"/>
      <c r="F93" s="616"/>
      <c r="G93" s="616"/>
      <c r="H93" s="616"/>
      <c r="I93" s="616"/>
      <c r="J93" s="616"/>
      <c r="K93" s="616"/>
      <c r="L93" s="616"/>
      <c r="M93" s="616"/>
      <c r="N93" s="616"/>
      <c r="O93" s="616"/>
      <c r="P93" s="616"/>
      <c r="Q93" s="616"/>
      <c r="R93" s="702"/>
      <c r="S93" s="702">
        <v>118000</v>
      </c>
      <c r="T93" s="702">
        <v>119000</v>
      </c>
      <c r="U93" s="702">
        <v>116000</v>
      </c>
      <c r="V93" s="702">
        <v>118000</v>
      </c>
      <c r="W93" s="702">
        <v>117000</v>
      </c>
      <c r="X93" s="702">
        <v>0</v>
      </c>
      <c r="Y93" s="702">
        <v>0</v>
      </c>
      <c r="Z93" s="702">
        <v>0</v>
      </c>
      <c r="AA93" s="702">
        <v>0</v>
      </c>
      <c r="AB93" s="702">
        <v>0</v>
      </c>
    </row>
    <row r="94" spans="1:28">
      <c r="A94" s="34"/>
      <c r="B94" s="34"/>
      <c r="C94" s="34"/>
      <c r="D94" s="616"/>
      <c r="E94" s="616"/>
      <c r="F94" s="616"/>
      <c r="G94" s="616"/>
      <c r="H94" s="616"/>
      <c r="I94" s="616"/>
      <c r="J94" s="616"/>
      <c r="K94" s="616"/>
      <c r="L94" s="616"/>
      <c r="M94" s="616"/>
      <c r="N94" s="616"/>
      <c r="O94" s="616"/>
      <c r="P94" s="616"/>
      <c r="Q94" s="616"/>
      <c r="R94" s="616">
        <v>0</v>
      </c>
      <c r="S94" s="616">
        <v>2683000</v>
      </c>
      <c r="T94" s="616">
        <v>2504000</v>
      </c>
      <c r="U94" s="616">
        <v>2394000</v>
      </c>
      <c r="V94" s="616">
        <v>2427000</v>
      </c>
      <c r="W94" s="616">
        <v>2153000</v>
      </c>
      <c r="X94" s="616">
        <v>1947000</v>
      </c>
      <c r="Y94" s="616">
        <v>2148000</v>
      </c>
      <c r="Z94" s="616">
        <v>2445000</v>
      </c>
      <c r="AA94" s="616">
        <v>2068000</v>
      </c>
      <c r="AB94" s="616">
        <v>2563000</v>
      </c>
    </row>
    <row r="95" spans="1:28">
      <c r="A95" s="34"/>
      <c r="B95" s="34" t="s">
        <v>56</v>
      </c>
      <c r="C95" s="34"/>
      <c r="D95" s="616"/>
      <c r="E95" s="616"/>
      <c r="F95" s="616"/>
      <c r="G95" s="616"/>
      <c r="H95" s="616"/>
      <c r="I95" s="616"/>
      <c r="J95" s="616"/>
      <c r="K95" s="616"/>
      <c r="L95" s="616"/>
      <c r="M95" s="616"/>
      <c r="N95" s="616"/>
      <c r="O95" s="616"/>
      <c r="P95" s="616"/>
      <c r="Q95" s="616"/>
      <c r="R95" s="702"/>
      <c r="S95" s="702">
        <v>18000</v>
      </c>
      <c r="T95" s="702">
        <v>22000</v>
      </c>
      <c r="U95" s="702">
        <v>52000</v>
      </c>
      <c r="V95" s="702">
        <v>16000</v>
      </c>
      <c r="W95" s="702">
        <v>11000</v>
      </c>
      <c r="X95" s="702">
        <v>12000</v>
      </c>
      <c r="Y95" s="702">
        <v>4000</v>
      </c>
      <c r="Z95" s="702">
        <v>15000</v>
      </c>
      <c r="AA95" s="702">
        <v>5000</v>
      </c>
      <c r="AB95" s="702">
        <v>10000</v>
      </c>
    </row>
    <row r="96" spans="1:28">
      <c r="A96" s="34"/>
      <c r="B96" s="722" t="s">
        <v>58</v>
      </c>
      <c r="C96" s="34"/>
      <c r="D96" s="616"/>
      <c r="E96" s="616"/>
      <c r="F96" s="616">
        <v>138295</v>
      </c>
      <c r="G96" s="616">
        <v>570280</v>
      </c>
      <c r="H96" s="616">
        <v>768095</v>
      </c>
      <c r="I96" s="616">
        <v>1121171</v>
      </c>
      <c r="J96" s="616">
        <v>1361241</v>
      </c>
      <c r="K96" s="616">
        <v>1297154</v>
      </c>
      <c r="L96" s="616">
        <v>1642774</v>
      </c>
      <c r="M96" s="616">
        <v>2176848</v>
      </c>
      <c r="N96" s="616">
        <v>1776567</v>
      </c>
      <c r="O96" s="616">
        <v>2583639</v>
      </c>
      <c r="P96" s="616">
        <v>1871935</v>
      </c>
      <c r="Q96" s="616">
        <v>2039599</v>
      </c>
      <c r="R96" s="616"/>
      <c r="S96" s="616">
        <v>2701000</v>
      </c>
      <c r="T96" s="616">
        <v>2526000</v>
      </c>
      <c r="U96" s="616">
        <v>2446000</v>
      </c>
      <c r="V96" s="616">
        <v>2443000</v>
      </c>
      <c r="W96" s="616">
        <v>2164000</v>
      </c>
      <c r="X96" s="616">
        <v>1959000</v>
      </c>
      <c r="Y96" s="616">
        <v>2152000</v>
      </c>
      <c r="Z96" s="616">
        <v>2460000</v>
      </c>
      <c r="AA96" s="616">
        <v>2073000</v>
      </c>
      <c r="AB96" s="616">
        <v>2573000</v>
      </c>
    </row>
    <row r="97" spans="1:28">
      <c r="A97" s="721" t="s">
        <v>59</v>
      </c>
      <c r="B97" s="43"/>
      <c r="C97" s="43"/>
      <c r="D97" s="702"/>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row>
    <row r="98" spans="1:28">
      <c r="A98" s="34"/>
      <c r="B98" s="34" t="s">
        <v>1174</v>
      </c>
      <c r="C98" s="34"/>
      <c r="D98" s="616"/>
      <c r="E98" s="616"/>
      <c r="F98" s="616"/>
      <c r="G98" s="616"/>
      <c r="H98" s="616"/>
      <c r="I98" s="616"/>
      <c r="J98" s="616"/>
      <c r="K98" s="616"/>
      <c r="L98" s="616"/>
      <c r="M98" s="616"/>
      <c r="N98" s="616">
        <v>-720378</v>
      </c>
      <c r="O98" s="616">
        <v>-1594481</v>
      </c>
      <c r="P98" s="616">
        <v>-788511</v>
      </c>
      <c r="Q98" s="616">
        <v>-743625</v>
      </c>
      <c r="R98" s="616"/>
      <c r="S98" s="616">
        <v>-874000</v>
      </c>
      <c r="T98" s="616">
        <v>-678000</v>
      </c>
      <c r="U98" s="616">
        <v>-624000</v>
      </c>
      <c r="V98" s="616">
        <v>-674000</v>
      </c>
      <c r="W98" s="616">
        <v>-513000</v>
      </c>
      <c r="X98" s="616">
        <v>-460000</v>
      </c>
      <c r="Y98" s="616">
        <v>-657000</v>
      </c>
      <c r="Z98" s="616">
        <v>-901000</v>
      </c>
      <c r="AA98" s="616">
        <v>-635000</v>
      </c>
      <c r="AB98" s="616">
        <v>-974000</v>
      </c>
    </row>
    <row r="99" spans="1:28" ht="13.5" customHeight="1">
      <c r="A99" s="34"/>
      <c r="B99" s="34" t="s">
        <v>60</v>
      </c>
      <c r="C99" s="34"/>
      <c r="D99" s="616"/>
      <c r="E99" s="616"/>
      <c r="F99" s="616"/>
      <c r="G99" s="616"/>
      <c r="H99" s="616"/>
      <c r="I99" s="616"/>
      <c r="J99" s="616"/>
      <c r="K99" s="616"/>
      <c r="L99" s="616"/>
      <c r="M99" s="616"/>
      <c r="N99" s="616"/>
      <c r="O99" s="616"/>
      <c r="P99" s="616"/>
      <c r="Q99" s="616"/>
      <c r="R99" s="616"/>
      <c r="S99" s="616"/>
      <c r="T99" s="616"/>
      <c r="U99" s="616"/>
      <c r="V99" s="616"/>
      <c r="W99" s="616"/>
      <c r="X99" s="616"/>
      <c r="Y99" s="616">
        <v>-17000</v>
      </c>
      <c r="Z99" s="616">
        <v>-27000</v>
      </c>
      <c r="AA99" s="616">
        <v>-14000</v>
      </c>
      <c r="AB99" s="616">
        <v>-30000</v>
      </c>
    </row>
    <row r="100" spans="1:28">
      <c r="A100" s="34"/>
      <c r="B100" s="34" t="s">
        <v>61</v>
      </c>
      <c r="C100" s="34"/>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v>-7000</v>
      </c>
      <c r="Z100" s="616">
        <v>-10000</v>
      </c>
      <c r="AA100" s="616">
        <v>-7000</v>
      </c>
      <c r="AB100" s="616">
        <v>-7000</v>
      </c>
    </row>
    <row r="101" spans="1:28">
      <c r="A101" s="34"/>
      <c r="B101" s="34" t="s">
        <v>1206</v>
      </c>
      <c r="C101" s="34"/>
      <c r="D101" s="616"/>
      <c r="E101" s="616"/>
      <c r="F101" s="616"/>
      <c r="G101" s="616"/>
      <c r="H101" s="616"/>
      <c r="I101" s="616"/>
      <c r="J101" s="616"/>
      <c r="K101" s="616"/>
      <c r="L101" s="616"/>
      <c r="M101" s="616"/>
      <c r="N101" s="616"/>
      <c r="O101" s="616"/>
      <c r="P101" s="616"/>
      <c r="Q101" s="616"/>
      <c r="R101" s="616"/>
      <c r="S101" s="616">
        <v>-83000</v>
      </c>
      <c r="T101" s="616">
        <v>-87000</v>
      </c>
      <c r="U101" s="616">
        <v>-77000</v>
      </c>
      <c r="V101" s="616">
        <v>-253000</v>
      </c>
      <c r="W101" s="616">
        <v>-190000</v>
      </c>
      <c r="X101" s="616">
        <v>-115000</v>
      </c>
      <c r="Y101" s="616">
        <v>-123000</v>
      </c>
      <c r="Z101" s="616">
        <v>-116000</v>
      </c>
      <c r="AA101" s="616">
        <v>-114000</v>
      </c>
      <c r="AB101" s="616">
        <v>-150000</v>
      </c>
    </row>
    <row r="102" spans="1:28">
      <c r="A102" s="34"/>
      <c r="B102" s="34" t="s">
        <v>62</v>
      </c>
      <c r="C102" s="34"/>
      <c r="D102" s="616"/>
      <c r="E102" s="616"/>
      <c r="F102" s="616"/>
      <c r="G102" s="616"/>
      <c r="H102" s="616"/>
      <c r="I102" s="616"/>
      <c r="J102" s="616"/>
      <c r="K102" s="616"/>
      <c r="L102" s="616"/>
      <c r="M102" s="616"/>
      <c r="N102" s="616"/>
      <c r="O102" s="616"/>
      <c r="P102" s="616"/>
      <c r="Q102" s="616"/>
      <c r="R102" s="616"/>
      <c r="S102" s="616"/>
      <c r="T102" s="616"/>
      <c r="U102" s="616"/>
      <c r="V102" s="616"/>
      <c r="W102" s="616"/>
      <c r="X102" s="616"/>
      <c r="Y102" s="616">
        <v>-1000</v>
      </c>
      <c r="Z102" s="616">
        <v>-17000</v>
      </c>
      <c r="AA102" s="616">
        <v>-22000</v>
      </c>
      <c r="AB102" s="616">
        <v>-24000</v>
      </c>
    </row>
    <row r="103" spans="1:28">
      <c r="A103" s="34"/>
      <c r="B103" s="34" t="s">
        <v>63</v>
      </c>
      <c r="C103" s="34"/>
      <c r="D103" s="616"/>
      <c r="E103" s="616"/>
      <c r="F103" s="616"/>
      <c r="G103" s="616"/>
      <c r="H103" s="616"/>
      <c r="I103" s="616"/>
      <c r="J103" s="616"/>
      <c r="K103" s="616"/>
      <c r="L103" s="616"/>
      <c r="M103" s="616"/>
      <c r="N103" s="616"/>
      <c r="O103" s="616"/>
      <c r="P103" s="616"/>
      <c r="Q103" s="616"/>
      <c r="R103" s="616"/>
      <c r="S103" s="616">
        <v>-15000</v>
      </c>
      <c r="T103" s="616">
        <v>-4000</v>
      </c>
      <c r="U103" s="616">
        <v>1000</v>
      </c>
      <c r="V103" s="616">
        <v>-6000</v>
      </c>
      <c r="W103" s="616">
        <v>-8000</v>
      </c>
      <c r="X103" s="616">
        <v>-9000</v>
      </c>
      <c r="Y103" s="616">
        <v>-17000</v>
      </c>
      <c r="Z103" s="616">
        <v>-24000</v>
      </c>
      <c r="AA103" s="616">
        <v>-28000</v>
      </c>
      <c r="AB103" s="616">
        <v>-45000</v>
      </c>
    </row>
    <row r="104" spans="1:28">
      <c r="A104" s="34"/>
      <c r="B104" s="34" t="s">
        <v>64</v>
      </c>
      <c r="C104" s="34"/>
      <c r="D104" s="616"/>
      <c r="E104" s="616"/>
      <c r="F104" s="616"/>
      <c r="G104" s="616"/>
      <c r="H104" s="616"/>
      <c r="I104" s="616"/>
      <c r="J104" s="616"/>
      <c r="K104" s="616"/>
      <c r="L104" s="616"/>
      <c r="M104" s="616"/>
      <c r="N104" s="616"/>
      <c r="O104" s="616"/>
      <c r="P104" s="616"/>
      <c r="Q104" s="616"/>
      <c r="R104" s="616"/>
      <c r="S104" s="616">
        <v>-544000</v>
      </c>
      <c r="T104" s="616">
        <v>-576000</v>
      </c>
      <c r="U104" s="616">
        <v>-596000</v>
      </c>
      <c r="V104" s="616"/>
      <c r="W104" s="616"/>
      <c r="X104" s="616"/>
      <c r="Y104" s="616">
        <v>-39000</v>
      </c>
      <c r="Z104" s="616">
        <v>-40000</v>
      </c>
      <c r="AA104" s="616">
        <v>-32000</v>
      </c>
      <c r="AB104" s="616">
        <v>-28000</v>
      </c>
    </row>
    <row r="105" spans="1:28">
      <c r="A105" s="34"/>
      <c r="B105" s="34" t="s">
        <v>65</v>
      </c>
      <c r="C105" s="34"/>
      <c r="D105" s="616"/>
      <c r="E105" s="616"/>
      <c r="F105" s="616"/>
      <c r="G105" s="616"/>
      <c r="H105" s="616"/>
      <c r="I105" s="616"/>
      <c r="J105" s="616"/>
      <c r="K105" s="616"/>
      <c r="L105" s="616"/>
      <c r="M105" s="616"/>
      <c r="N105" s="616"/>
      <c r="O105" s="616"/>
      <c r="P105" s="616"/>
      <c r="Q105" s="616"/>
      <c r="R105" s="616"/>
      <c r="S105" s="616"/>
      <c r="T105" s="616"/>
      <c r="U105" s="616"/>
      <c r="V105" s="616">
        <v>-665000</v>
      </c>
      <c r="W105" s="616">
        <v>-637000</v>
      </c>
      <c r="X105" s="616">
        <v>-638000</v>
      </c>
      <c r="Y105" s="616">
        <v>-584000</v>
      </c>
      <c r="Z105" s="616">
        <v>-560000</v>
      </c>
      <c r="AA105" s="616">
        <v>-509000</v>
      </c>
      <c r="AB105" s="616">
        <v>-460000</v>
      </c>
    </row>
    <row r="106" spans="1:28">
      <c r="A106" s="34"/>
      <c r="B106" s="34" t="s">
        <v>66</v>
      </c>
      <c r="C106" s="34"/>
      <c r="D106" s="616"/>
      <c r="E106" s="616"/>
      <c r="F106" s="616"/>
      <c r="G106" s="616"/>
      <c r="H106" s="616"/>
      <c r="I106" s="616"/>
      <c r="J106" s="616"/>
      <c r="K106" s="616"/>
      <c r="L106" s="616"/>
      <c r="M106" s="616"/>
      <c r="N106" s="616"/>
      <c r="O106" s="616"/>
      <c r="P106" s="616"/>
      <c r="Q106" s="616"/>
      <c r="R106" s="616"/>
      <c r="S106" s="616">
        <v>-23000</v>
      </c>
      <c r="T106" s="616">
        <v>-26000</v>
      </c>
      <c r="U106" s="616">
        <v>-32000</v>
      </c>
      <c r="V106" s="616"/>
      <c r="W106" s="616"/>
      <c r="X106" s="616"/>
      <c r="Y106" s="616">
        <v>-3000</v>
      </c>
      <c r="Z106" s="616">
        <v>-3000</v>
      </c>
      <c r="AA106" s="616">
        <v>-2000</v>
      </c>
      <c r="AB106" s="616">
        <v>-13000</v>
      </c>
    </row>
    <row r="107" spans="1:28">
      <c r="A107" s="34"/>
      <c r="B107" s="34" t="s">
        <v>67</v>
      </c>
      <c r="C107" s="34"/>
      <c r="D107" s="616"/>
      <c r="E107" s="616"/>
      <c r="F107" s="616"/>
      <c r="G107" s="616"/>
      <c r="H107" s="616"/>
      <c r="I107" s="616"/>
      <c r="J107" s="616"/>
      <c r="K107" s="616"/>
      <c r="L107" s="616"/>
      <c r="M107" s="616"/>
      <c r="N107" s="616"/>
      <c r="O107" s="616"/>
      <c r="P107" s="616"/>
      <c r="Q107" s="616"/>
      <c r="R107" s="616"/>
      <c r="S107" s="616">
        <v>-391000</v>
      </c>
      <c r="T107" s="616">
        <v>-362000</v>
      </c>
      <c r="U107" s="616">
        <v>-278000</v>
      </c>
      <c r="V107" s="616">
        <v>-57000</v>
      </c>
      <c r="W107" s="616">
        <v>-46000</v>
      </c>
      <c r="X107" s="616">
        <v>-44000</v>
      </c>
      <c r="Y107" s="616">
        <v>-46000</v>
      </c>
      <c r="Z107" s="616">
        <v>-46000</v>
      </c>
      <c r="AA107" s="616">
        <v>-46000</v>
      </c>
      <c r="AB107" s="616">
        <v>-44000</v>
      </c>
    </row>
    <row r="108" spans="1:28">
      <c r="A108" s="34"/>
      <c r="B108" s="34" t="s">
        <v>68</v>
      </c>
      <c r="C108" s="34"/>
      <c r="D108" s="616"/>
      <c r="E108" s="616"/>
      <c r="F108" s="616"/>
      <c r="G108" s="616"/>
      <c r="H108" s="616"/>
      <c r="I108" s="616"/>
      <c r="J108" s="616"/>
      <c r="K108" s="616"/>
      <c r="L108" s="616"/>
      <c r="M108" s="616"/>
      <c r="N108" s="616"/>
      <c r="O108" s="616"/>
      <c r="P108" s="616"/>
      <c r="Q108" s="616"/>
      <c r="R108" s="616"/>
      <c r="S108" s="616"/>
      <c r="T108" s="616"/>
      <c r="U108" s="616"/>
      <c r="V108" s="616"/>
      <c r="W108" s="616"/>
      <c r="X108" s="616"/>
      <c r="Y108" s="616"/>
      <c r="Z108" s="616"/>
      <c r="AA108" s="616">
        <v>0</v>
      </c>
      <c r="AB108" s="616">
        <v>-1000</v>
      </c>
    </row>
    <row r="109" spans="1:28">
      <c r="A109" s="34"/>
      <c r="B109" s="34" t="s">
        <v>69</v>
      </c>
      <c r="C109" s="34"/>
      <c r="D109" s="616"/>
      <c r="E109" s="616"/>
      <c r="F109" s="616"/>
      <c r="G109" s="616"/>
      <c r="H109" s="616"/>
      <c r="I109" s="616"/>
      <c r="J109" s="616"/>
      <c r="K109" s="616"/>
      <c r="L109" s="616"/>
      <c r="M109" s="616"/>
      <c r="N109" s="616"/>
      <c r="O109" s="616"/>
      <c r="P109" s="616"/>
      <c r="Q109" s="616"/>
      <c r="R109" s="616"/>
      <c r="S109" s="616"/>
      <c r="T109" s="616"/>
      <c r="U109" s="616"/>
      <c r="V109" s="616"/>
      <c r="W109" s="616"/>
      <c r="X109" s="616"/>
      <c r="Y109" s="616">
        <v>-1000</v>
      </c>
      <c r="Z109" s="616">
        <v>-6000</v>
      </c>
      <c r="AA109" s="616">
        <v>-17000</v>
      </c>
      <c r="AB109" s="616">
        <v>-33000</v>
      </c>
    </row>
    <row r="110" spans="1:28">
      <c r="A110" s="34"/>
      <c r="B110" s="34" t="s">
        <v>70</v>
      </c>
      <c r="C110" s="34"/>
      <c r="D110" s="616"/>
      <c r="E110" s="616"/>
      <c r="F110" s="702" t="e">
        <v>#REF!</v>
      </c>
      <c r="G110" s="702" t="e">
        <v>#REF!</v>
      </c>
      <c r="H110" s="702" t="e">
        <v>#REF!</v>
      </c>
      <c r="I110" s="702" t="e">
        <v>#REF!</v>
      </c>
      <c r="J110" s="702" t="e">
        <v>#REF!</v>
      </c>
      <c r="K110" s="702" t="e">
        <v>#REF!</v>
      </c>
      <c r="L110" s="702" t="e">
        <v>#REF!</v>
      </c>
      <c r="M110" s="702" t="e">
        <v>#REF!</v>
      </c>
      <c r="N110" s="702">
        <v>0</v>
      </c>
      <c r="O110" s="702">
        <v>0</v>
      </c>
      <c r="P110" s="702">
        <v>0</v>
      </c>
      <c r="Q110" s="702">
        <v>0</v>
      </c>
      <c r="R110" s="702"/>
      <c r="S110" s="702">
        <v>-262000</v>
      </c>
      <c r="T110" s="702">
        <v>-252000</v>
      </c>
      <c r="U110" s="702">
        <v>-253000</v>
      </c>
      <c r="V110" s="702">
        <v>-263000</v>
      </c>
      <c r="W110" s="702">
        <v>-247000</v>
      </c>
      <c r="X110" s="702">
        <v>-228000</v>
      </c>
      <c r="Y110" s="702">
        <v>-208000</v>
      </c>
      <c r="Z110" s="702">
        <v>-205000</v>
      </c>
      <c r="AA110" s="702">
        <v>-201000</v>
      </c>
      <c r="AB110" s="702">
        <v>-211000</v>
      </c>
    </row>
    <row r="111" spans="1:28">
      <c r="A111" s="34"/>
      <c r="B111" s="722" t="s">
        <v>71</v>
      </c>
      <c r="C111" s="34"/>
      <c r="D111" s="616"/>
      <c r="E111" s="616"/>
      <c r="F111" s="616" t="e">
        <v>#REF!</v>
      </c>
      <c r="G111" s="616" t="e">
        <v>#REF!</v>
      </c>
      <c r="H111" s="616" t="e">
        <v>#REF!</v>
      </c>
      <c r="I111" s="616" t="e">
        <v>#REF!</v>
      </c>
      <c r="J111" s="616" t="e">
        <v>#REF!</v>
      </c>
      <c r="K111" s="616" t="e">
        <v>#REF!</v>
      </c>
      <c r="L111" s="616" t="e">
        <v>#REF!</v>
      </c>
      <c r="M111" s="616" t="e">
        <v>#REF!</v>
      </c>
      <c r="N111" s="616">
        <v>-720378</v>
      </c>
      <c r="O111" s="616">
        <v>-1594481</v>
      </c>
      <c r="P111" s="616">
        <v>-788511</v>
      </c>
      <c r="Q111" s="616">
        <v>-743625</v>
      </c>
      <c r="R111" s="616">
        <v>0</v>
      </c>
      <c r="S111" s="616">
        <v>-2192000</v>
      </c>
      <c r="T111" s="616">
        <v>-1985000</v>
      </c>
      <c r="U111" s="616">
        <v>-1859000</v>
      </c>
      <c r="V111" s="616">
        <v>-1918000</v>
      </c>
      <c r="W111" s="616">
        <v>-1641000</v>
      </c>
      <c r="X111" s="616">
        <v>-1494000</v>
      </c>
      <c r="Y111" s="616">
        <v>-1703000</v>
      </c>
      <c r="Z111" s="616">
        <v>-1955000</v>
      </c>
      <c r="AA111" s="616">
        <v>-1627000</v>
      </c>
      <c r="AB111" s="616">
        <v>-2020000</v>
      </c>
    </row>
    <row r="112" spans="1:28">
      <c r="A112" s="34"/>
      <c r="B112" s="613"/>
      <c r="C112" s="34"/>
      <c r="D112" s="616"/>
      <c r="E112" s="616"/>
      <c r="F112" s="616"/>
      <c r="G112" s="616"/>
      <c r="H112" s="616"/>
      <c r="I112" s="616"/>
      <c r="J112" s="616"/>
      <c r="K112" s="616"/>
      <c r="L112" s="616"/>
      <c r="M112" s="616"/>
      <c r="N112" s="616"/>
      <c r="O112" s="616"/>
      <c r="P112" s="616"/>
      <c r="Q112" s="616"/>
      <c r="R112" s="616"/>
      <c r="S112" s="616"/>
      <c r="T112" s="616"/>
      <c r="U112" s="616"/>
      <c r="V112" s="616"/>
      <c r="W112" s="616"/>
      <c r="X112" s="616"/>
      <c r="Y112" s="616"/>
      <c r="Z112" s="616"/>
      <c r="AA112" s="616"/>
      <c r="AB112" s="616"/>
    </row>
    <row r="113" spans="1:29">
      <c r="A113" s="721" t="s">
        <v>72</v>
      </c>
      <c r="B113" s="43"/>
      <c r="C113" s="43"/>
      <c r="D113" s="702"/>
      <c r="E113" s="616"/>
      <c r="F113" s="702" t="e">
        <v>#REF!</v>
      </c>
      <c r="G113" s="702" t="e">
        <v>#REF!</v>
      </c>
      <c r="H113" s="702" t="e">
        <v>#REF!</v>
      </c>
      <c r="I113" s="702" t="e">
        <v>#REF!</v>
      </c>
      <c r="J113" s="702" t="e">
        <v>#REF!</v>
      </c>
      <c r="K113" s="702" t="e">
        <v>#REF!</v>
      </c>
      <c r="L113" s="702" t="e">
        <v>#REF!</v>
      </c>
      <c r="M113" s="702" t="e">
        <v>#REF!</v>
      </c>
      <c r="N113" s="702">
        <v>1056189</v>
      </c>
      <c r="O113" s="702">
        <v>989158</v>
      </c>
      <c r="P113" s="702">
        <v>1083424</v>
      </c>
      <c r="Q113" s="702">
        <v>1295974</v>
      </c>
      <c r="R113" s="702">
        <v>0</v>
      </c>
      <c r="S113" s="702">
        <v>509000</v>
      </c>
      <c r="T113" s="702">
        <v>541000</v>
      </c>
      <c r="U113" s="702">
        <v>587000</v>
      </c>
      <c r="V113" s="702">
        <v>525000</v>
      </c>
      <c r="W113" s="702">
        <v>523000</v>
      </c>
      <c r="X113" s="702">
        <v>465000</v>
      </c>
      <c r="Y113" s="702">
        <v>449000</v>
      </c>
      <c r="Z113" s="702">
        <v>505000</v>
      </c>
      <c r="AA113" s="702">
        <v>446000</v>
      </c>
      <c r="AB113" s="702">
        <v>553000</v>
      </c>
    </row>
    <row r="114" spans="1:29">
      <c r="A114" s="34"/>
      <c r="B114" s="1111" t="s">
        <v>73</v>
      </c>
      <c r="C114" s="1111"/>
      <c r="D114" s="616"/>
      <c r="E114" s="616"/>
      <c r="F114" s="616"/>
      <c r="G114" s="616"/>
      <c r="H114" s="616"/>
      <c r="I114" s="616"/>
      <c r="J114" s="616"/>
      <c r="K114" s="616"/>
      <c r="L114" s="616"/>
      <c r="M114" s="616"/>
      <c r="N114" s="616">
        <v>658</v>
      </c>
      <c r="O114" s="616">
        <v>45497</v>
      </c>
      <c r="P114" s="616">
        <v>-114109</v>
      </c>
      <c r="Q114" s="616">
        <v>-14872</v>
      </c>
      <c r="R114" s="616"/>
      <c r="S114" s="616"/>
      <c r="T114" s="616"/>
      <c r="U114" s="616"/>
      <c r="V114" s="616">
        <v>-37000</v>
      </c>
      <c r="W114" s="616"/>
      <c r="X114" s="616"/>
      <c r="Y114" s="616"/>
      <c r="Z114" s="616">
        <v>2000</v>
      </c>
      <c r="AA114" s="616"/>
      <c r="AB114" s="616">
        <v>7000</v>
      </c>
    </row>
    <row r="115" spans="1:29">
      <c r="A115" s="34"/>
      <c r="B115" s="1111" t="s">
        <v>74</v>
      </c>
      <c r="C115" s="1111"/>
      <c r="D115" s="616"/>
      <c r="E115" s="616"/>
      <c r="F115" s="616" t="e">
        <v>#REF!</v>
      </c>
      <c r="G115" s="616" t="e">
        <v>#REF!</v>
      </c>
      <c r="H115" s="616" t="e">
        <v>#REF!</v>
      </c>
      <c r="I115" s="616" t="e">
        <v>#REF!</v>
      </c>
      <c r="J115" s="616" t="e">
        <v>#REF!</v>
      </c>
      <c r="K115" s="616" t="e">
        <v>#REF!</v>
      </c>
      <c r="L115" s="616" t="e">
        <v>#REF!</v>
      </c>
      <c r="M115" s="616" t="e">
        <v>#REF!</v>
      </c>
      <c r="N115" s="616">
        <v>-107132</v>
      </c>
      <c r="O115" s="616">
        <v>-139556</v>
      </c>
      <c r="P115" s="616">
        <v>-149793</v>
      </c>
      <c r="Q115" s="616">
        <v>-174318</v>
      </c>
      <c r="R115" s="616"/>
      <c r="S115" s="616">
        <v>-177000</v>
      </c>
      <c r="T115" s="616">
        <v>-180000</v>
      </c>
      <c r="U115" s="616">
        <v>-175000</v>
      </c>
      <c r="V115" s="616">
        <v>-178000</v>
      </c>
      <c r="W115" s="616">
        <v>-175000</v>
      </c>
      <c r="X115" s="616">
        <v>-170000</v>
      </c>
      <c r="Y115" s="616">
        <v>-177000</v>
      </c>
      <c r="Z115" s="616">
        <v>-169000</v>
      </c>
      <c r="AA115" s="616">
        <v>-184000</v>
      </c>
      <c r="AB115" s="616">
        <v>-208000</v>
      </c>
    </row>
    <row r="116" spans="1:29">
      <c r="A116" s="34"/>
      <c r="B116" s="1111" t="s">
        <v>119</v>
      </c>
      <c r="C116" s="1111"/>
      <c r="D116" s="616"/>
      <c r="E116" s="616"/>
      <c r="F116" s="616"/>
      <c r="G116" s="616"/>
      <c r="H116" s="616"/>
      <c r="I116" s="616"/>
      <c r="J116" s="616"/>
      <c r="K116" s="616"/>
      <c r="L116" s="616"/>
      <c r="M116" s="616"/>
      <c r="N116" s="616"/>
      <c r="O116" s="616"/>
      <c r="P116" s="616"/>
      <c r="Q116" s="616"/>
      <c r="R116" s="616"/>
      <c r="S116" s="616">
        <v>-16000</v>
      </c>
      <c r="T116" s="616">
        <v>-15000</v>
      </c>
      <c r="U116" s="616">
        <v>-15000</v>
      </c>
      <c r="V116" s="616">
        <v>-26000</v>
      </c>
      <c r="W116" s="616">
        <v>-28000</v>
      </c>
      <c r="X116" s="616">
        <v>-33000</v>
      </c>
      <c r="Y116" s="616">
        <v>-38000</v>
      </c>
      <c r="Z116" s="616">
        <v>-36000</v>
      </c>
      <c r="AA116" s="616">
        <v>-36000</v>
      </c>
      <c r="AB116" s="616">
        <v>-41000</v>
      </c>
      <c r="AC116" s="14"/>
    </row>
    <row r="117" spans="1:29">
      <c r="A117" s="34"/>
      <c r="B117" s="1111" t="s">
        <v>82</v>
      </c>
      <c r="C117" s="1111"/>
      <c r="D117" s="616"/>
      <c r="E117" s="616"/>
      <c r="F117" s="616" t="e">
        <v>#REF!</v>
      </c>
      <c r="G117" s="616" t="e">
        <v>#REF!</v>
      </c>
      <c r="H117" s="616" t="e">
        <v>#REF!</v>
      </c>
      <c r="I117" s="616" t="e">
        <v>#REF!</v>
      </c>
      <c r="J117" s="616" t="e">
        <v>#REF!</v>
      </c>
      <c r="K117" s="616" t="e">
        <v>#REF!</v>
      </c>
      <c r="L117" s="616" t="e">
        <v>#REF!</v>
      </c>
      <c r="M117" s="616" t="e">
        <v>#REF!</v>
      </c>
      <c r="N117" s="616">
        <v>0</v>
      </c>
      <c r="O117" s="616">
        <v>-98</v>
      </c>
      <c r="P117" s="616">
        <v>-1883</v>
      </c>
      <c r="Q117" s="616">
        <v>-2012</v>
      </c>
      <c r="R117" s="616"/>
      <c r="S117" s="616">
        <v>2000</v>
      </c>
      <c r="T117" s="616"/>
      <c r="U117" s="616"/>
      <c r="V117" s="616"/>
      <c r="W117" s="616"/>
      <c r="X117" s="616"/>
      <c r="Y117" s="616"/>
      <c r="Z117" s="616"/>
      <c r="AA117" s="616"/>
      <c r="AB117" s="616"/>
    </row>
    <row r="118" spans="1:29">
      <c r="A118" s="34"/>
      <c r="B118" s="1111" t="s">
        <v>1178</v>
      </c>
      <c r="C118" s="1111"/>
      <c r="D118" s="616"/>
      <c r="E118" s="616"/>
      <c r="F118" s="616" t="e">
        <v>#REF!</v>
      </c>
      <c r="G118" s="616" t="e">
        <v>#REF!</v>
      </c>
      <c r="H118" s="616" t="e">
        <v>#REF!</v>
      </c>
      <c r="I118" s="616" t="e">
        <v>#REF!</v>
      </c>
      <c r="J118" s="616" t="e">
        <v>#REF!</v>
      </c>
      <c r="K118" s="616" t="e">
        <v>#REF!</v>
      </c>
      <c r="L118" s="616" t="e">
        <v>#REF!</v>
      </c>
      <c r="M118" s="726" t="e">
        <v>#REF!</v>
      </c>
      <c r="N118" s="616">
        <v>0</v>
      </c>
      <c r="O118" s="616">
        <v>0</v>
      </c>
      <c r="P118" s="616">
        <v>0</v>
      </c>
      <c r="Q118" s="616">
        <v>0</v>
      </c>
      <c r="R118" s="616"/>
      <c r="S118" s="616">
        <v>21000</v>
      </c>
      <c r="T118" s="616">
        <v>-28000</v>
      </c>
      <c r="U118" s="616">
        <v>1000</v>
      </c>
      <c r="V118" s="616">
        <v>-24000</v>
      </c>
      <c r="W118" s="616">
        <v>-10000</v>
      </c>
      <c r="X118" s="616">
        <v>-12000</v>
      </c>
      <c r="Y118" s="1121">
        <v>3000</v>
      </c>
      <c r="Z118" s="1121"/>
      <c r="AA118" s="616"/>
      <c r="AB118" s="616"/>
    </row>
    <row r="119" spans="1:29">
      <c r="A119" s="34"/>
      <c r="B119" s="1141"/>
      <c r="C119" s="1481" t="s">
        <v>1405</v>
      </c>
      <c r="D119" s="1398"/>
      <c r="E119" s="760"/>
      <c r="F119" s="616"/>
      <c r="G119" s="616"/>
      <c r="H119" s="616"/>
      <c r="I119" s="616"/>
      <c r="J119" s="616"/>
      <c r="K119" s="616"/>
      <c r="L119" s="616"/>
      <c r="M119" s="726"/>
      <c r="N119" s="616"/>
      <c r="O119" s="616"/>
      <c r="P119" s="616"/>
      <c r="Q119" s="616"/>
      <c r="R119" s="616"/>
      <c r="S119" s="616"/>
      <c r="T119" s="616"/>
      <c r="U119" s="616"/>
      <c r="V119" s="616"/>
      <c r="W119" s="726">
        <v>2000</v>
      </c>
      <c r="X119" s="616"/>
      <c r="Y119" s="1121"/>
      <c r="Z119" s="1121"/>
      <c r="AA119" s="616"/>
      <c r="AB119" s="616"/>
    </row>
    <row r="120" spans="1:29">
      <c r="A120" s="34"/>
      <c r="B120" s="1256" t="s">
        <v>1273</v>
      </c>
      <c r="C120" s="1111"/>
      <c r="D120" s="616"/>
      <c r="E120" s="616"/>
      <c r="F120" s="616"/>
      <c r="G120" s="616"/>
      <c r="H120" s="616"/>
      <c r="I120" s="616"/>
      <c r="J120" s="616"/>
      <c r="K120" s="616"/>
      <c r="L120" s="616"/>
      <c r="M120" s="726"/>
      <c r="N120" s="616"/>
      <c r="O120" s="616"/>
      <c r="P120" s="616"/>
      <c r="Q120" s="616"/>
      <c r="R120" s="616"/>
      <c r="S120" s="616"/>
      <c r="T120" s="616"/>
      <c r="U120" s="616"/>
      <c r="V120" s="616"/>
      <c r="W120" s="616">
        <v>-217000</v>
      </c>
      <c r="X120" s="616"/>
      <c r="Y120" s="1121"/>
      <c r="Z120" s="1121"/>
      <c r="AA120" s="616"/>
      <c r="AB120" s="616"/>
    </row>
    <row r="121" spans="1:29">
      <c r="A121" s="34"/>
      <c r="B121" s="1256" t="s">
        <v>1207</v>
      </c>
      <c r="C121" s="1111"/>
      <c r="D121" s="616"/>
      <c r="E121" s="616"/>
      <c r="F121" s="616"/>
      <c r="G121" s="616"/>
      <c r="H121" s="616"/>
      <c r="I121" s="616"/>
      <c r="J121" s="616"/>
      <c r="K121" s="616"/>
      <c r="L121" s="616"/>
      <c r="M121" s="726"/>
      <c r="N121" s="616"/>
      <c r="O121" s="616"/>
      <c r="P121" s="616"/>
      <c r="Q121" s="616"/>
      <c r="R121" s="616"/>
      <c r="S121" s="616"/>
      <c r="T121" s="616"/>
      <c r="U121" s="616"/>
      <c r="V121" s="616"/>
      <c r="W121" s="616">
        <v>-43000</v>
      </c>
      <c r="X121" s="616"/>
      <c r="Y121" s="1121"/>
      <c r="Z121" s="1121"/>
      <c r="AA121" s="616"/>
      <c r="AB121" s="616"/>
    </row>
    <row r="122" spans="1:29">
      <c r="A122" s="34"/>
      <c r="B122" s="1256" t="s">
        <v>362</v>
      </c>
      <c r="C122" s="1111"/>
      <c r="D122" s="616"/>
      <c r="E122" s="616"/>
      <c r="F122" s="616"/>
      <c r="G122" s="616"/>
      <c r="H122" s="616"/>
      <c r="I122" s="616"/>
      <c r="J122" s="616"/>
      <c r="K122" s="616"/>
      <c r="L122" s="616"/>
      <c r="M122" s="726"/>
      <c r="N122" s="616"/>
      <c r="O122" s="616"/>
      <c r="P122" s="616"/>
      <c r="Q122" s="616"/>
      <c r="R122" s="616"/>
      <c r="S122" s="616"/>
      <c r="T122" s="616"/>
      <c r="U122" s="616"/>
      <c r="V122" s="616"/>
      <c r="W122" s="616">
        <v>-36000</v>
      </c>
      <c r="X122" s="616"/>
      <c r="Y122" s="1121"/>
      <c r="Z122" s="1121"/>
      <c r="AA122" s="616"/>
      <c r="AB122" s="616"/>
    </row>
    <row r="123" spans="1:29">
      <c r="A123" s="34"/>
      <c r="B123" s="1111" t="s">
        <v>1198</v>
      </c>
      <c r="C123" s="1111"/>
      <c r="D123" s="616"/>
      <c r="E123" s="616"/>
      <c r="F123" s="616"/>
      <c r="G123" s="616"/>
      <c r="H123" s="616"/>
      <c r="I123" s="616"/>
      <c r="J123" s="616"/>
      <c r="K123" s="616"/>
      <c r="L123" s="616"/>
      <c r="M123" s="616"/>
      <c r="N123" s="616"/>
      <c r="O123" s="616"/>
      <c r="P123" s="616"/>
      <c r="Q123" s="616"/>
      <c r="R123" s="616"/>
      <c r="S123" s="616"/>
      <c r="T123" s="616"/>
      <c r="U123" s="616"/>
      <c r="V123" s="616"/>
      <c r="W123" s="616"/>
      <c r="X123" s="616"/>
      <c r="Y123" s="616"/>
      <c r="Z123" s="616">
        <v>5000</v>
      </c>
      <c r="AA123" s="616"/>
      <c r="AB123" s="616"/>
    </row>
    <row r="124" spans="1:29">
      <c r="A124" s="34"/>
      <c r="B124" s="1111" t="s">
        <v>1180</v>
      </c>
      <c r="C124" s="1111"/>
      <c r="D124" s="616"/>
      <c r="E124" s="616"/>
      <c r="F124" s="616"/>
      <c r="G124" s="616"/>
      <c r="H124" s="616"/>
      <c r="I124" s="616"/>
      <c r="J124" s="616"/>
      <c r="K124" s="616"/>
      <c r="L124" s="616"/>
      <c r="M124" s="616"/>
      <c r="N124" s="616"/>
      <c r="O124" s="616"/>
      <c r="P124" s="616"/>
      <c r="Q124" s="616"/>
      <c r="R124" s="616"/>
      <c r="S124" s="702"/>
      <c r="T124" s="702"/>
      <c r="U124" s="702"/>
      <c r="V124" s="702"/>
      <c r="W124" s="702"/>
      <c r="X124" s="702"/>
      <c r="Y124" s="702"/>
      <c r="Z124" s="702">
        <v>2000</v>
      </c>
      <c r="AA124" s="702"/>
      <c r="AB124" s="702"/>
    </row>
    <row r="125" spans="1:29">
      <c r="A125" s="34"/>
      <c r="B125" s="1257" t="s">
        <v>83</v>
      </c>
      <c r="C125" s="1111"/>
      <c r="D125" s="616"/>
      <c r="E125" s="616"/>
      <c r="F125" s="616" t="e">
        <v>#REF!</v>
      </c>
      <c r="G125" s="616" t="e">
        <v>#REF!</v>
      </c>
      <c r="H125" s="616" t="e">
        <v>#REF!</v>
      </c>
      <c r="I125" s="616" t="e">
        <v>#REF!</v>
      </c>
      <c r="J125" s="616" t="e">
        <v>#REF!</v>
      </c>
      <c r="K125" s="616" t="e">
        <v>#REF!</v>
      </c>
      <c r="L125" s="616" t="e">
        <v>#REF!</v>
      </c>
      <c r="M125" s="616" t="e">
        <v>#REF!</v>
      </c>
      <c r="N125" s="616">
        <v>-106474</v>
      </c>
      <c r="O125" s="616">
        <v>-94157</v>
      </c>
      <c r="P125" s="616">
        <v>-265785</v>
      </c>
      <c r="Q125" s="616">
        <v>-191202</v>
      </c>
      <c r="R125" s="616">
        <v>0</v>
      </c>
      <c r="S125" s="616">
        <v>-170000</v>
      </c>
      <c r="T125" s="616">
        <v>-223000</v>
      </c>
      <c r="U125" s="616">
        <v>-189000</v>
      </c>
      <c r="V125" s="616">
        <v>-265000</v>
      </c>
      <c r="W125" s="616">
        <v>-507000</v>
      </c>
      <c r="X125" s="616">
        <v>-215000</v>
      </c>
      <c r="Y125" s="616">
        <v>-212000</v>
      </c>
      <c r="Z125" s="616">
        <v>-196000</v>
      </c>
      <c r="AA125" s="616">
        <v>-220000</v>
      </c>
      <c r="AB125" s="616">
        <v>-242000</v>
      </c>
    </row>
    <row r="126" spans="1:29">
      <c r="A126" s="34"/>
      <c r="B126" s="1257"/>
      <c r="C126" s="1111"/>
      <c r="D126" s="616"/>
      <c r="E126" s="616"/>
      <c r="F126" s="616"/>
      <c r="G126" s="616"/>
      <c r="H126" s="616"/>
      <c r="I126" s="616"/>
      <c r="J126" s="616"/>
      <c r="K126" s="616"/>
      <c r="L126" s="616"/>
      <c r="M126" s="616"/>
      <c r="N126" s="616"/>
      <c r="O126" s="616"/>
      <c r="P126" s="616"/>
      <c r="Q126" s="616"/>
      <c r="R126" s="616"/>
      <c r="S126" s="616"/>
      <c r="T126" s="616"/>
      <c r="U126" s="616"/>
      <c r="V126" s="616"/>
      <c r="W126" s="616"/>
      <c r="X126" s="616"/>
      <c r="Y126" s="616"/>
      <c r="Z126" s="616"/>
      <c r="AA126" s="616"/>
      <c r="AB126" s="616"/>
    </row>
    <row r="127" spans="1:29">
      <c r="A127" s="721" t="s">
        <v>84</v>
      </c>
      <c r="B127" s="1123"/>
      <c r="C127" s="1123"/>
      <c r="D127" s="702"/>
      <c r="E127" s="616"/>
      <c r="F127" s="702" t="e">
        <v>#REF!</v>
      </c>
      <c r="G127" s="702" t="e">
        <v>#REF!</v>
      </c>
      <c r="H127" s="702" t="e">
        <v>#REF!</v>
      </c>
      <c r="I127" s="702" t="e">
        <v>#REF!</v>
      </c>
      <c r="J127" s="702" t="e">
        <v>#REF!</v>
      </c>
      <c r="K127" s="702" t="e">
        <v>#REF!</v>
      </c>
      <c r="L127" s="702" t="e">
        <v>#REF!</v>
      </c>
      <c r="M127" s="702" t="e">
        <v>#REF!</v>
      </c>
      <c r="N127" s="702">
        <v>949715</v>
      </c>
      <c r="O127" s="702">
        <v>895001</v>
      </c>
      <c r="P127" s="702">
        <v>817639</v>
      </c>
      <c r="Q127" s="702">
        <v>1104772</v>
      </c>
      <c r="R127" s="702">
        <v>0</v>
      </c>
      <c r="S127" s="702">
        <v>339000</v>
      </c>
      <c r="T127" s="702">
        <v>318000</v>
      </c>
      <c r="U127" s="702">
        <v>398000</v>
      </c>
      <c r="V127" s="702">
        <v>260000</v>
      </c>
      <c r="W127" s="702">
        <v>16000</v>
      </c>
      <c r="X127" s="702">
        <v>250000</v>
      </c>
      <c r="Y127" s="702">
        <v>237000</v>
      </c>
      <c r="Z127" s="702">
        <v>309000</v>
      </c>
      <c r="AA127" s="702">
        <v>226000</v>
      </c>
      <c r="AB127" s="702">
        <v>311000</v>
      </c>
    </row>
    <row r="128" spans="1:29">
      <c r="A128" s="34"/>
      <c r="B128" s="1120"/>
      <c r="C128" s="1111"/>
      <c r="D128" s="616"/>
      <c r="E128" s="616"/>
      <c r="F128" s="616"/>
      <c r="G128" s="616"/>
      <c r="H128" s="616"/>
      <c r="I128" s="616"/>
      <c r="J128" s="616"/>
      <c r="K128" s="616"/>
      <c r="L128" s="616"/>
      <c r="M128" s="616"/>
      <c r="N128" s="616"/>
      <c r="O128" s="616"/>
      <c r="P128" s="616"/>
      <c r="Q128" s="616"/>
      <c r="R128" s="616"/>
      <c r="S128" s="616"/>
      <c r="T128" s="616"/>
      <c r="U128" s="616"/>
      <c r="V128" s="616"/>
      <c r="W128" s="616"/>
      <c r="X128" s="616"/>
      <c r="Y128" s="616"/>
      <c r="Z128" s="616"/>
      <c r="AA128" s="616"/>
      <c r="AB128" s="616"/>
    </row>
    <row r="129" spans="1:29">
      <c r="A129" s="721" t="s">
        <v>85</v>
      </c>
      <c r="B129" s="1134"/>
      <c r="C129" s="1123"/>
      <c r="D129" s="702"/>
      <c r="E129" s="616"/>
      <c r="F129" s="616"/>
      <c r="G129" s="616"/>
      <c r="H129" s="616"/>
      <c r="I129" s="616"/>
      <c r="J129" s="616"/>
      <c r="K129" s="616"/>
      <c r="L129" s="616"/>
      <c r="M129" s="616"/>
      <c r="N129" s="616"/>
      <c r="O129" s="616"/>
      <c r="P129" s="616"/>
      <c r="Q129" s="616"/>
      <c r="R129" s="616"/>
      <c r="S129" s="616"/>
      <c r="T129" s="616"/>
      <c r="U129" s="616"/>
      <c r="V129" s="616"/>
      <c r="W129" s="616"/>
      <c r="X129" s="616"/>
      <c r="Y129" s="616"/>
      <c r="Z129" s="616"/>
      <c r="AA129" s="616"/>
      <c r="AB129" s="616"/>
    </row>
    <row r="130" spans="1:29">
      <c r="A130" s="34"/>
      <c r="B130" s="1111" t="s">
        <v>85</v>
      </c>
      <c r="C130" s="1111"/>
      <c r="D130" s="616"/>
      <c r="E130" s="616"/>
      <c r="F130" s="616" t="e">
        <v>#REF!</v>
      </c>
      <c r="G130" s="616" t="e">
        <v>#REF!</v>
      </c>
      <c r="H130" s="616" t="e">
        <v>#REF!</v>
      </c>
      <c r="I130" s="616" t="e">
        <v>#REF!</v>
      </c>
      <c r="J130" s="616" t="e">
        <v>#REF!</v>
      </c>
      <c r="K130" s="616" t="e">
        <v>#REF!</v>
      </c>
      <c r="L130" s="616" t="e">
        <v>#REF!</v>
      </c>
      <c r="M130" s="616" t="e">
        <v>#REF!</v>
      </c>
      <c r="N130" s="616">
        <v>-56323</v>
      </c>
      <c r="O130" s="616">
        <v>-56898</v>
      </c>
      <c r="P130" s="616">
        <v>-73026</v>
      </c>
      <c r="Q130" s="616">
        <v>-86816</v>
      </c>
      <c r="R130" s="616"/>
      <c r="S130" s="616">
        <v>-72000</v>
      </c>
      <c r="T130" s="616">
        <v>-66000</v>
      </c>
      <c r="U130" s="616">
        <v>-77000</v>
      </c>
      <c r="V130" s="616">
        <v>-98000</v>
      </c>
      <c r="W130" s="616">
        <v>-101000</v>
      </c>
      <c r="X130" s="616">
        <v>-93000</v>
      </c>
      <c r="Y130" s="616">
        <v>-84000</v>
      </c>
      <c r="Z130" s="616">
        <v>-70000</v>
      </c>
      <c r="AA130" s="616">
        <v>-55000</v>
      </c>
      <c r="AB130" s="616">
        <v>-50000</v>
      </c>
    </row>
    <row r="131" spans="1:29">
      <c r="A131" s="34"/>
      <c r="B131" s="1111" t="s">
        <v>73</v>
      </c>
      <c r="C131" s="1111"/>
      <c r="D131" s="616"/>
      <c r="E131" s="616"/>
      <c r="F131" s="702"/>
      <c r="G131" s="702"/>
      <c r="H131" s="702"/>
      <c r="I131" s="702"/>
      <c r="J131" s="702"/>
      <c r="K131" s="702"/>
      <c r="L131" s="702"/>
      <c r="M131" s="702"/>
      <c r="N131" s="702">
        <v>23888</v>
      </c>
      <c r="O131" s="702">
        <v>-14332</v>
      </c>
      <c r="P131" s="702">
        <v>-32489</v>
      </c>
      <c r="Q131" s="702">
        <v>-23296</v>
      </c>
      <c r="R131" s="702"/>
      <c r="S131" s="702">
        <v>-11000</v>
      </c>
      <c r="T131" s="702">
        <v>11000</v>
      </c>
      <c r="U131" s="702">
        <v>7000</v>
      </c>
      <c r="V131" s="702"/>
      <c r="W131" s="702">
        <v>-21000</v>
      </c>
      <c r="X131" s="702">
        <v>23000</v>
      </c>
      <c r="Y131" s="702"/>
      <c r="Z131" s="702"/>
      <c r="AA131" s="702"/>
      <c r="AB131" s="702"/>
    </row>
    <row r="132" spans="1:29">
      <c r="A132" s="34"/>
      <c r="B132" s="613" t="s">
        <v>87</v>
      </c>
      <c r="C132" s="34"/>
      <c r="D132" s="616"/>
      <c r="E132" s="616"/>
      <c r="F132" s="616" t="e">
        <v>#REF!</v>
      </c>
      <c r="G132" s="616" t="e">
        <v>#REF!</v>
      </c>
      <c r="H132" s="616" t="e">
        <v>#REF!</v>
      </c>
      <c r="I132" s="616" t="e">
        <v>#REF!</v>
      </c>
      <c r="J132" s="616" t="e">
        <v>#REF!</v>
      </c>
      <c r="K132" s="616" t="e">
        <v>#REF!</v>
      </c>
      <c r="L132" s="616" t="e">
        <v>#REF!</v>
      </c>
      <c r="M132" s="616" t="e">
        <v>#REF!</v>
      </c>
      <c r="N132" s="616">
        <v>-32435</v>
      </c>
      <c r="O132" s="616">
        <v>-71230</v>
      </c>
      <c r="P132" s="616">
        <v>-105515</v>
      </c>
      <c r="Q132" s="616">
        <v>-110112</v>
      </c>
      <c r="R132" s="616">
        <v>0</v>
      </c>
      <c r="S132" s="616">
        <v>-83000</v>
      </c>
      <c r="T132" s="616">
        <v>-55000</v>
      </c>
      <c r="U132" s="616">
        <v>-70000</v>
      </c>
      <c r="V132" s="616">
        <v>-98000</v>
      </c>
      <c r="W132" s="616">
        <v>-122000</v>
      </c>
      <c r="X132" s="616">
        <v>-70000</v>
      </c>
      <c r="Y132" s="616">
        <v>-84000</v>
      </c>
      <c r="Z132" s="616">
        <v>-70000</v>
      </c>
      <c r="AA132" s="616">
        <v>-55000</v>
      </c>
      <c r="AB132" s="616">
        <v>-50000</v>
      </c>
    </row>
    <row r="133" spans="1:29">
      <c r="A133" s="34"/>
      <c r="B133" s="613"/>
      <c r="C133" s="34"/>
      <c r="D133" s="616"/>
      <c r="E133" s="616"/>
      <c r="F133" s="616"/>
      <c r="G133" s="616"/>
      <c r="H133" s="616"/>
      <c r="I133" s="616"/>
      <c r="J133" s="616"/>
      <c r="K133" s="616"/>
      <c r="L133" s="616"/>
      <c r="M133" s="616"/>
      <c r="N133" s="616"/>
      <c r="O133" s="616"/>
      <c r="P133" s="616"/>
      <c r="Q133" s="616"/>
      <c r="R133" s="616"/>
      <c r="S133" s="616"/>
      <c r="T133" s="616"/>
      <c r="U133" s="616"/>
      <c r="V133" s="616"/>
      <c r="W133" s="616"/>
      <c r="X133" s="616"/>
      <c r="Y133" s="616"/>
      <c r="Z133" s="616"/>
      <c r="AA133" s="616"/>
      <c r="AB133" s="616"/>
    </row>
    <row r="134" spans="1:29">
      <c r="A134" s="721" t="s">
        <v>88</v>
      </c>
      <c r="B134" s="723"/>
      <c r="C134" s="724"/>
      <c r="D134" s="702"/>
      <c r="E134" s="616"/>
      <c r="F134" s="702" t="e">
        <v>#REF!</v>
      </c>
      <c r="G134" s="702" t="e">
        <v>#REF!</v>
      </c>
      <c r="H134" s="702" t="e">
        <v>#REF!</v>
      </c>
      <c r="I134" s="702" t="e">
        <v>#REF!</v>
      </c>
      <c r="J134" s="702" t="e">
        <v>#REF!</v>
      </c>
      <c r="K134" s="702" t="e">
        <v>#REF!</v>
      </c>
      <c r="L134" s="702" t="e">
        <v>#REF!</v>
      </c>
      <c r="M134" s="702" t="e">
        <v>#REF!</v>
      </c>
      <c r="N134" s="702">
        <v>917280</v>
      </c>
      <c r="O134" s="702">
        <v>823771</v>
      </c>
      <c r="P134" s="702">
        <v>712124</v>
      </c>
      <c r="Q134" s="702">
        <v>994660</v>
      </c>
      <c r="R134" s="702">
        <v>0</v>
      </c>
      <c r="S134" s="702">
        <v>256000</v>
      </c>
      <c r="T134" s="702">
        <v>263000</v>
      </c>
      <c r="U134" s="702">
        <v>328000</v>
      </c>
      <c r="V134" s="702">
        <v>162000</v>
      </c>
      <c r="W134" s="702">
        <v>-106000</v>
      </c>
      <c r="X134" s="702">
        <v>180000</v>
      </c>
      <c r="Y134" s="702">
        <v>153000</v>
      </c>
      <c r="Z134" s="702">
        <v>239000</v>
      </c>
      <c r="AA134" s="702">
        <v>171000</v>
      </c>
      <c r="AB134" s="702">
        <v>261000</v>
      </c>
    </row>
    <row r="135" spans="1:29">
      <c r="A135" s="707"/>
      <c r="B135" s="34"/>
      <c r="C135" s="707"/>
      <c r="D135" s="616"/>
      <c r="E135" s="616"/>
      <c r="F135" s="616"/>
      <c r="G135" s="616"/>
      <c r="H135" s="616"/>
      <c r="I135" s="616"/>
      <c r="J135" s="616"/>
      <c r="K135" s="616"/>
      <c r="L135" s="616"/>
      <c r="M135" s="616"/>
      <c r="N135" s="616"/>
      <c r="O135" s="616"/>
      <c r="P135" s="616"/>
      <c r="Q135" s="616"/>
      <c r="R135" s="616"/>
      <c r="S135" s="616"/>
      <c r="T135" s="616"/>
      <c r="U135" s="616"/>
      <c r="V135" s="616"/>
      <c r="W135" s="616"/>
      <c r="X135" s="616"/>
      <c r="Y135" s="616"/>
      <c r="Z135" s="616"/>
      <c r="AA135" s="616"/>
      <c r="AB135" s="616"/>
    </row>
    <row r="136" spans="1:29">
      <c r="A136" s="34"/>
      <c r="B136" s="34" t="s">
        <v>89</v>
      </c>
      <c r="C136" s="34"/>
      <c r="D136" s="616"/>
      <c r="E136" s="616"/>
      <c r="F136" s="616" t="e">
        <v>#REF!</v>
      </c>
      <c r="G136" s="616" t="e">
        <v>#REF!</v>
      </c>
      <c r="H136" s="616" t="e">
        <v>#REF!</v>
      </c>
      <c r="I136" s="616" t="e">
        <v>#REF!</v>
      </c>
      <c r="J136" s="616" t="e">
        <v>#REF!</v>
      </c>
      <c r="K136" s="616" t="e">
        <v>#REF!</v>
      </c>
      <c r="L136" s="616" t="e">
        <v>#REF!</v>
      </c>
      <c r="M136" s="616" t="e">
        <v>#REF!</v>
      </c>
      <c r="N136" s="616">
        <v>-102871</v>
      </c>
      <c r="O136" s="616">
        <v>-60457</v>
      </c>
      <c r="P136" s="616">
        <v>-74538</v>
      </c>
      <c r="Q136" s="616">
        <v>-103913</v>
      </c>
      <c r="R136" s="616"/>
      <c r="S136" s="616">
        <v>-53000</v>
      </c>
      <c r="T136" s="616">
        <v>-33000</v>
      </c>
      <c r="U136" s="616">
        <v>-58000</v>
      </c>
      <c r="V136" s="616">
        <v>-7000</v>
      </c>
      <c r="W136" s="616">
        <v>-19000</v>
      </c>
      <c r="X136" s="616">
        <v>-33000</v>
      </c>
      <c r="Y136" s="616">
        <v>-36000</v>
      </c>
      <c r="Z136" s="616">
        <v>-125000</v>
      </c>
      <c r="AA136" s="616">
        <v>-67000</v>
      </c>
      <c r="AB136" s="616">
        <v>-91000</v>
      </c>
    </row>
    <row r="137" spans="1:29">
      <c r="A137" s="34"/>
      <c r="B137" s="34" t="s">
        <v>90</v>
      </c>
      <c r="C137" s="34"/>
      <c r="D137" s="616"/>
      <c r="E137" s="616"/>
      <c r="F137" s="702" t="e">
        <v>#REF!</v>
      </c>
      <c r="G137" s="702" t="e">
        <v>#REF!</v>
      </c>
      <c r="H137" s="702" t="e">
        <v>#REF!</v>
      </c>
      <c r="I137" s="702" t="e">
        <v>#REF!</v>
      </c>
      <c r="J137" s="702" t="e">
        <v>#REF!</v>
      </c>
      <c r="K137" s="702" t="e">
        <v>#REF!</v>
      </c>
      <c r="L137" s="702" t="e">
        <v>#REF!</v>
      </c>
      <c r="M137" s="702" t="e">
        <v>#REF!</v>
      </c>
      <c r="N137" s="702">
        <v>5416</v>
      </c>
      <c r="O137" s="702">
        <v>-8648</v>
      </c>
      <c r="P137" s="702">
        <v>35848</v>
      </c>
      <c r="Q137" s="702">
        <v>10726</v>
      </c>
      <c r="R137" s="702"/>
      <c r="S137" s="702">
        <v>-13000</v>
      </c>
      <c r="T137" s="702">
        <v>-31000</v>
      </c>
      <c r="U137" s="702">
        <v>-36000</v>
      </c>
      <c r="V137" s="702">
        <v>-22000</v>
      </c>
      <c r="W137" s="702">
        <v>59000</v>
      </c>
      <c r="X137" s="702">
        <v>-18000</v>
      </c>
      <c r="Y137" s="702">
        <v>-5000</v>
      </c>
      <c r="Z137" s="702">
        <v>56000</v>
      </c>
      <c r="AA137" s="702">
        <v>21000</v>
      </c>
      <c r="AB137" s="702">
        <v>17000</v>
      </c>
    </row>
    <row r="138" spans="1:29">
      <c r="A138" s="34"/>
      <c r="B138" s="34"/>
      <c r="C138" s="34"/>
      <c r="D138" s="616"/>
      <c r="E138" s="616"/>
      <c r="F138" s="616" t="e">
        <v>#REF!</v>
      </c>
      <c r="G138" s="616" t="e">
        <v>#REF!</v>
      </c>
      <c r="H138" s="616" t="e">
        <v>#REF!</v>
      </c>
      <c r="I138" s="616" t="e">
        <v>#REF!</v>
      </c>
      <c r="J138" s="616" t="e">
        <v>#REF!</v>
      </c>
      <c r="K138" s="616" t="e">
        <v>#REF!</v>
      </c>
      <c r="L138" s="616" t="e">
        <v>#REF!</v>
      </c>
      <c r="M138" s="616" t="e">
        <v>#REF!</v>
      </c>
      <c r="N138" s="616">
        <v>-97455</v>
      </c>
      <c r="O138" s="616">
        <v>-69105</v>
      </c>
      <c r="P138" s="616">
        <v>-38690</v>
      </c>
      <c r="Q138" s="616">
        <v>-93187</v>
      </c>
      <c r="R138" s="616">
        <v>0</v>
      </c>
      <c r="S138" s="616">
        <v>-66000</v>
      </c>
      <c r="T138" s="616">
        <v>-64000</v>
      </c>
      <c r="U138" s="616">
        <v>-94000</v>
      </c>
      <c r="V138" s="616">
        <v>-29000</v>
      </c>
      <c r="W138" s="616">
        <v>40000</v>
      </c>
      <c r="X138" s="616">
        <v>-51000</v>
      </c>
      <c r="Y138" s="616">
        <v>-41000</v>
      </c>
      <c r="Z138" s="616">
        <v>-69000</v>
      </c>
      <c r="AA138" s="616">
        <v>-46000</v>
      </c>
      <c r="AB138" s="616">
        <v>-74000</v>
      </c>
    </row>
    <row r="139" spans="1:29">
      <c r="A139" s="34"/>
      <c r="B139" s="34"/>
      <c r="C139" s="34"/>
      <c r="D139" s="616"/>
      <c r="E139" s="616"/>
      <c r="F139" s="616"/>
      <c r="G139" s="616"/>
      <c r="H139" s="616"/>
      <c r="I139" s="616"/>
      <c r="J139" s="616"/>
      <c r="K139" s="616"/>
      <c r="L139" s="616"/>
      <c r="M139" s="616"/>
      <c r="N139" s="616"/>
      <c r="O139" s="616"/>
      <c r="P139" s="616"/>
      <c r="Q139" s="616"/>
      <c r="R139" s="616"/>
      <c r="S139" s="616"/>
      <c r="T139" s="616"/>
      <c r="U139" s="616"/>
      <c r="V139" s="616"/>
      <c r="W139" s="616"/>
      <c r="X139" s="616"/>
      <c r="Y139" s="616"/>
      <c r="Z139" s="616"/>
      <c r="AA139" s="616"/>
      <c r="AB139" s="616"/>
    </row>
    <row r="140" spans="1:29">
      <c r="A140" s="721" t="s">
        <v>1194</v>
      </c>
      <c r="B140" s="721"/>
      <c r="C140" s="43"/>
      <c r="D140" s="702"/>
      <c r="E140" s="616"/>
      <c r="F140" s="702" t="e">
        <v>#REF!</v>
      </c>
      <c r="G140" s="702" t="e">
        <v>#REF!</v>
      </c>
      <c r="H140" s="702" t="e">
        <v>#REF!</v>
      </c>
      <c r="I140" s="702" t="e">
        <v>#REF!</v>
      </c>
      <c r="J140" s="702" t="e">
        <v>#REF!</v>
      </c>
      <c r="K140" s="702" t="e">
        <v>#REF!</v>
      </c>
      <c r="L140" s="702" t="e">
        <v>#REF!</v>
      </c>
      <c r="M140" s="702" t="e">
        <v>#REF!</v>
      </c>
      <c r="N140" s="702">
        <v>819825</v>
      </c>
      <c r="O140" s="702">
        <v>754666</v>
      </c>
      <c r="P140" s="702">
        <v>673434</v>
      </c>
      <c r="Q140" s="702">
        <v>901473</v>
      </c>
      <c r="R140" s="724">
        <v>150294</v>
      </c>
      <c r="S140" s="724">
        <v>190000</v>
      </c>
      <c r="T140" s="724">
        <v>199000</v>
      </c>
      <c r="U140" s="724">
        <v>234000</v>
      </c>
      <c r="V140" s="724">
        <v>133000</v>
      </c>
      <c r="W140" s="724">
        <v>-66000</v>
      </c>
      <c r="X140" s="724">
        <v>129000</v>
      </c>
      <c r="Y140" s="724">
        <v>112000</v>
      </c>
      <c r="Z140" s="724">
        <v>170000</v>
      </c>
      <c r="AA140" s="724">
        <v>125000</v>
      </c>
      <c r="AB140" s="724">
        <v>187000</v>
      </c>
    </row>
    <row r="141" spans="1:29">
      <c r="A141" s="1107"/>
      <c r="B141" s="1107"/>
      <c r="D141" s="616"/>
      <c r="E141" s="616"/>
      <c r="F141" s="616"/>
      <c r="G141" s="616"/>
      <c r="H141" s="616"/>
      <c r="I141" s="616"/>
      <c r="J141" s="616"/>
      <c r="K141" s="616"/>
      <c r="L141" s="616"/>
      <c r="M141" s="616"/>
      <c r="N141" s="616"/>
      <c r="O141" s="616"/>
      <c r="P141" s="616"/>
      <c r="Q141" s="616"/>
      <c r="R141" s="616"/>
      <c r="S141" s="616"/>
      <c r="T141" s="616"/>
      <c r="U141" s="616"/>
      <c r="V141" s="616"/>
      <c r="W141" s="616"/>
      <c r="X141" s="616"/>
      <c r="Y141" s="616"/>
      <c r="Z141" s="616"/>
      <c r="AA141" s="616"/>
      <c r="AB141" s="616"/>
      <c r="AC141" s="616"/>
    </row>
    <row r="142" spans="1:29">
      <c r="A142" s="613" t="s">
        <v>1170</v>
      </c>
      <c r="C142" s="34"/>
      <c r="D142" s="616"/>
      <c r="E142" s="616"/>
      <c r="F142" s="616"/>
      <c r="G142" s="616"/>
      <c r="H142" s="616"/>
      <c r="I142" s="616"/>
      <c r="J142" s="616"/>
      <c r="K142" s="616"/>
      <c r="L142" s="703">
        <v>-21007</v>
      </c>
      <c r="M142" s="703">
        <v>613726</v>
      </c>
      <c r="N142" s="616"/>
      <c r="O142" s="616"/>
      <c r="P142" s="616"/>
      <c r="Q142" s="616"/>
      <c r="R142" s="616"/>
      <c r="S142" s="616"/>
      <c r="T142" s="616"/>
      <c r="U142" s="616"/>
      <c r="V142" s="616"/>
      <c r="W142" s="616"/>
      <c r="X142" s="616"/>
      <c r="Y142" s="616"/>
      <c r="Z142" s="616"/>
      <c r="AA142" s="616"/>
      <c r="AB142" s="616"/>
    </row>
    <row r="143" spans="1:29">
      <c r="A143" s="613"/>
      <c r="B143" s="34" t="s">
        <v>1171</v>
      </c>
      <c r="C143" s="34"/>
      <c r="D143" s="616"/>
      <c r="E143" s="616"/>
      <c r="F143" s="616"/>
      <c r="G143" s="616"/>
      <c r="H143" s="616"/>
      <c r="I143" s="616"/>
      <c r="J143" s="616"/>
      <c r="K143" s="616"/>
      <c r="L143" s="703"/>
      <c r="M143" s="703"/>
      <c r="N143" s="616"/>
      <c r="O143" s="616"/>
      <c r="P143" s="616"/>
      <c r="Q143" s="616"/>
      <c r="R143" s="616"/>
      <c r="S143" s="616"/>
      <c r="T143" s="616"/>
      <c r="U143" s="616"/>
      <c r="V143" s="616"/>
      <c r="W143" s="616"/>
      <c r="X143" s="616"/>
      <c r="Y143" s="616"/>
      <c r="Z143" s="616">
        <v>165000</v>
      </c>
      <c r="AA143" s="616"/>
      <c r="AB143" s="616"/>
    </row>
    <row r="144" spans="1:29">
      <c r="A144" s="613"/>
      <c r="B144" s="34" t="s">
        <v>1172</v>
      </c>
      <c r="C144" s="34"/>
      <c r="D144" s="616"/>
      <c r="E144" s="616"/>
      <c r="F144" s="616"/>
      <c r="G144" s="616"/>
      <c r="H144" s="616"/>
      <c r="I144" s="616"/>
      <c r="J144" s="616"/>
      <c r="K144" s="616"/>
      <c r="L144" s="703"/>
      <c r="M144" s="703"/>
      <c r="N144" s="616"/>
      <c r="O144" s="616"/>
      <c r="P144" s="616"/>
      <c r="Q144" s="616"/>
      <c r="R144" s="616"/>
      <c r="S144" s="616"/>
      <c r="T144" s="616"/>
      <c r="U144" s="616"/>
      <c r="V144" s="616"/>
      <c r="W144" s="616"/>
      <c r="X144" s="616"/>
      <c r="Y144" s="616">
        <v>20000</v>
      </c>
      <c r="Z144" s="616">
        <v>10000</v>
      </c>
      <c r="AA144" s="616"/>
      <c r="AB144" s="616"/>
    </row>
    <row r="145" spans="1:28" ht="13.5" thickBot="1">
      <c r="A145" s="1107" t="s">
        <v>91</v>
      </c>
      <c r="B145" s="1107"/>
      <c r="C145" s="1108"/>
      <c r="D145" s="702"/>
      <c r="E145" s="616"/>
      <c r="F145" s="616"/>
      <c r="G145" s="616"/>
      <c r="H145" s="616"/>
      <c r="I145" s="616"/>
      <c r="J145" s="616"/>
      <c r="K145" s="616"/>
      <c r="L145" s="707" t="e">
        <v>#REF!</v>
      </c>
      <c r="M145" s="707" t="e">
        <v>#REF!</v>
      </c>
      <c r="N145" s="707">
        <v>819825</v>
      </c>
      <c r="O145" s="707">
        <v>754666</v>
      </c>
      <c r="P145" s="707">
        <v>673434</v>
      </c>
      <c r="Q145" s="707">
        <v>901473</v>
      </c>
      <c r="R145" s="764">
        <v>150294</v>
      </c>
      <c r="S145" s="764">
        <v>190000</v>
      </c>
      <c r="T145" s="764">
        <v>199000</v>
      </c>
      <c r="U145" s="764">
        <v>234000</v>
      </c>
      <c r="V145" s="764">
        <v>133000</v>
      </c>
      <c r="W145" s="764">
        <v>-66000</v>
      </c>
      <c r="X145" s="764">
        <v>129000</v>
      </c>
      <c r="Y145" s="764">
        <v>132000</v>
      </c>
      <c r="Z145" s="764">
        <v>345000</v>
      </c>
      <c r="AA145" s="764">
        <v>125000</v>
      </c>
      <c r="AB145" s="764">
        <v>187000</v>
      </c>
    </row>
    <row r="146" spans="1:28" ht="13.5" thickTop="1">
      <c r="A146" s="4"/>
      <c r="B146" s="4"/>
      <c r="C146" s="1399" t="s">
        <v>93</v>
      </c>
      <c r="D146" s="4"/>
      <c r="E146" s="4"/>
      <c r="F146" s="4"/>
      <c r="G146" s="4"/>
      <c r="H146" s="4"/>
      <c r="I146" s="4"/>
      <c r="J146" s="4"/>
      <c r="K146" s="4"/>
      <c r="L146" s="4"/>
      <c r="M146" s="4"/>
      <c r="N146" s="4"/>
      <c r="O146" s="4"/>
      <c r="P146" s="4"/>
      <c r="Q146" s="4"/>
      <c r="R146" s="18">
        <v>0</v>
      </c>
      <c r="S146" s="18">
        <v>0</v>
      </c>
      <c r="T146" s="18">
        <v>0</v>
      </c>
      <c r="U146" s="18">
        <v>0</v>
      </c>
      <c r="V146" s="18">
        <v>0</v>
      </c>
      <c r="W146" s="18">
        <v>0</v>
      </c>
      <c r="X146" s="18">
        <v>0</v>
      </c>
      <c r="Y146" s="18">
        <v>0</v>
      </c>
      <c r="Z146" s="18">
        <v>0</v>
      </c>
      <c r="AA146" s="18">
        <v>0</v>
      </c>
      <c r="AB146" s="18">
        <v>0</v>
      </c>
    </row>
    <row r="147" spans="1:28">
      <c r="S147" s="14"/>
      <c r="T147" s="14"/>
      <c r="U147" s="14"/>
      <c r="V147" s="14"/>
      <c r="W147" s="14"/>
      <c r="X147" s="14"/>
      <c r="Y147" s="14"/>
      <c r="Z147" s="14"/>
      <c r="AA147" s="14"/>
      <c r="AB147" s="14"/>
    </row>
  </sheetData>
  <mergeCells count="2">
    <mergeCell ref="W78:AA78"/>
    <mergeCell ref="W1:AA1"/>
  </mergeCells>
  <phoneticPr fontId="2" type="noConversion"/>
  <printOptions horizontalCentered="1" headings="1" gridLines="1"/>
  <pageMargins left="0.23622047244094491" right="0.23622047244094491" top="0.94488188976377963" bottom="0.74803149606299213" header="0.59055118110236227" footer="0.31496062992125984"/>
  <pageSetup paperSize="9" scale="71" fitToHeight="0" orientation="portrait" r:id="rId1"/>
  <rowBreaks count="1" manualBreakCount="1">
    <brk id="76"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AN540"/>
  <sheetViews>
    <sheetView zoomScaleNormal="100" workbookViewId="0"/>
  </sheetViews>
  <sheetFormatPr defaultColWidth="9.5703125" defaultRowHeight="12.75"/>
  <cols>
    <col min="1" max="1" width="3" customWidth="1"/>
    <col min="2" max="2" width="5" customWidth="1"/>
    <col min="3" max="3" width="6.85546875" customWidth="1"/>
    <col min="4" max="4" width="16" customWidth="1"/>
    <col min="5" max="5" width="3.28515625" customWidth="1"/>
    <col min="6" max="6" width="10.28515625" hidden="1" customWidth="1"/>
    <col min="7" max="8" width="8.5703125" hidden="1" customWidth="1"/>
    <col min="9" max="10" width="9" hidden="1" customWidth="1"/>
    <col min="11" max="11" width="8.5703125" hidden="1" customWidth="1"/>
    <col min="12" max="12" width="9.28515625" hidden="1" customWidth="1"/>
    <col min="13" max="13" width="10" hidden="1" customWidth="1"/>
    <col min="14" max="17" width="9.5703125" hidden="1" customWidth="1"/>
    <col min="18" max="18" width="10.28515625" customWidth="1"/>
    <col min="19" max="19" width="9.28515625" customWidth="1"/>
    <col min="20" max="20" width="10.28515625" customWidth="1"/>
    <col min="21" max="21" width="10" customWidth="1"/>
    <col min="22" max="29" width="9.28515625" customWidth="1"/>
  </cols>
  <sheetData>
    <row r="1" spans="1:40" ht="19.5" customHeight="1">
      <c r="A1" s="1218" t="s">
        <v>0</v>
      </c>
      <c r="B1" s="1219"/>
      <c r="C1" s="1219"/>
      <c r="D1" s="1221"/>
      <c r="E1" s="1513"/>
      <c r="F1" s="1514"/>
      <c r="G1" s="1514"/>
      <c r="H1" s="1514"/>
      <c r="I1" s="25"/>
      <c r="J1" s="25"/>
      <c r="K1" s="78"/>
      <c r="L1" s="78"/>
      <c r="M1" s="1222"/>
      <c r="N1" s="1222"/>
      <c r="O1" s="718"/>
      <c r="P1" s="991"/>
      <c r="Q1" s="946"/>
      <c r="R1" s="1515"/>
      <c r="S1" s="1515"/>
      <c r="T1" s="1490"/>
      <c r="U1" s="1490"/>
      <c r="V1" s="1224"/>
      <c r="W1" s="1552" t="s">
        <v>18</v>
      </c>
      <c r="X1" s="1553"/>
      <c r="Y1" s="1553"/>
      <c r="Z1" s="1553"/>
      <c r="AA1" s="1554"/>
      <c r="AB1" s="1083">
        <v>3.1</v>
      </c>
      <c r="AC1" s="1117"/>
      <c r="AD1" s="1117"/>
      <c r="AE1" s="1117"/>
      <c r="AF1" s="1117"/>
      <c r="AG1" s="1117"/>
      <c r="AH1" s="1117"/>
      <c r="AI1" s="1117"/>
      <c r="AJ1" s="1117"/>
      <c r="AK1" s="1117"/>
      <c r="AL1" s="1117"/>
      <c r="AM1" s="1117"/>
      <c r="AN1" s="1117"/>
    </row>
    <row r="2" spans="1:40" ht="15.75">
      <c r="A2" s="630" t="s">
        <v>8</v>
      </c>
      <c r="B2" s="747"/>
      <c r="C2" s="748"/>
      <c r="D2" s="749"/>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row>
    <row r="3" spans="1:40">
      <c r="A3" s="1505" t="s">
        <v>1334</v>
      </c>
      <c r="B3" s="1505"/>
      <c r="C3" s="1505"/>
      <c r="D3" s="1505"/>
      <c r="E3" s="1276" t="s">
        <v>44</v>
      </c>
      <c r="F3" s="980">
        <v>1999</v>
      </c>
      <c r="G3" s="980">
        <v>2000</v>
      </c>
      <c r="H3" s="980">
        <v>2001</v>
      </c>
      <c r="I3" s="980">
        <v>2002</v>
      </c>
      <c r="J3" s="980">
        <v>2003</v>
      </c>
      <c r="K3" s="980">
        <v>2004</v>
      </c>
      <c r="L3" s="980">
        <v>2005</v>
      </c>
      <c r="M3" s="980">
        <v>2006</v>
      </c>
      <c r="N3" s="980">
        <v>2007</v>
      </c>
      <c r="O3" s="980">
        <v>2008</v>
      </c>
      <c r="P3" s="980">
        <v>2009</v>
      </c>
      <c r="Q3" s="980">
        <v>2010</v>
      </c>
      <c r="R3" s="980">
        <v>2011</v>
      </c>
      <c r="S3" s="980">
        <v>2012</v>
      </c>
      <c r="T3" s="980">
        <v>2013</v>
      </c>
      <c r="U3" s="980">
        <v>2014</v>
      </c>
      <c r="V3" s="980">
        <v>2015</v>
      </c>
      <c r="W3" s="980">
        <v>2016</v>
      </c>
      <c r="X3" s="980">
        <v>2017</v>
      </c>
      <c r="Y3" s="980">
        <v>2018</v>
      </c>
      <c r="Z3" s="980">
        <v>2019</v>
      </c>
      <c r="AA3" s="980">
        <v>2020</v>
      </c>
      <c r="AB3" s="980">
        <v>2021</v>
      </c>
    </row>
    <row r="4" spans="1:40">
      <c r="A4" s="1517" t="s">
        <v>18</v>
      </c>
      <c r="B4" s="1517"/>
      <c r="C4" s="1517"/>
      <c r="D4" s="1517"/>
      <c r="E4" s="616"/>
      <c r="F4" s="700" t="s">
        <v>46</v>
      </c>
      <c r="G4" s="700"/>
      <c r="H4" s="700"/>
      <c r="I4" s="700"/>
      <c r="J4" s="700"/>
      <c r="K4" s="700"/>
      <c r="L4" s="699"/>
      <c r="M4" s="700"/>
      <c r="N4" s="700"/>
      <c r="O4" s="700"/>
      <c r="P4" s="700"/>
      <c r="Q4" s="700"/>
      <c r="R4" s="631"/>
      <c r="S4" s="631"/>
      <c r="T4" s="631"/>
      <c r="U4" s="631"/>
      <c r="V4" s="631"/>
      <c r="W4" s="631"/>
      <c r="X4" s="631" t="s">
        <v>108</v>
      </c>
      <c r="Y4" s="631"/>
      <c r="Z4" s="631"/>
      <c r="AA4" s="616"/>
      <c r="AB4" s="616"/>
    </row>
    <row r="5" spans="1:40">
      <c r="A5" s="34"/>
      <c r="B5" s="34" t="s">
        <v>133</v>
      </c>
      <c r="C5" s="34"/>
      <c r="D5" s="34"/>
      <c r="E5" s="34"/>
      <c r="F5" s="616">
        <v>93759</v>
      </c>
      <c r="G5" s="616">
        <v>33562</v>
      </c>
      <c r="H5" s="616">
        <v>52829</v>
      </c>
      <c r="I5" s="616">
        <v>9962</v>
      </c>
      <c r="J5" s="616">
        <v>55337</v>
      </c>
      <c r="K5" s="616">
        <v>104262</v>
      </c>
      <c r="L5" s="616">
        <v>40827</v>
      </c>
      <c r="M5" s="616">
        <v>251824</v>
      </c>
      <c r="N5" s="616">
        <v>44755</v>
      </c>
      <c r="O5" s="616">
        <v>71742</v>
      </c>
      <c r="P5" s="616">
        <v>47877</v>
      </c>
      <c r="Q5" s="616">
        <v>54394</v>
      </c>
      <c r="R5" s="616">
        <v>47267</v>
      </c>
      <c r="S5" s="616">
        <v>5892</v>
      </c>
      <c r="T5" s="616">
        <v>77000</v>
      </c>
      <c r="U5" s="616">
        <v>6000</v>
      </c>
      <c r="V5" s="616">
        <v>0</v>
      </c>
      <c r="W5" s="616">
        <v>2000</v>
      </c>
      <c r="X5" s="616">
        <v>0</v>
      </c>
      <c r="Y5" s="616">
        <v>0</v>
      </c>
      <c r="Z5" s="616">
        <v>30000</v>
      </c>
      <c r="AA5" s="616">
        <v>0</v>
      </c>
      <c r="AB5" s="616">
        <v>41000</v>
      </c>
      <c r="AC5" s="616"/>
      <c r="AD5" s="616"/>
      <c r="AE5" s="616"/>
      <c r="AF5" s="616"/>
    </row>
    <row r="6" spans="1:40">
      <c r="A6" s="34"/>
      <c r="B6" s="34" t="s">
        <v>134</v>
      </c>
      <c r="C6" s="34"/>
      <c r="D6" s="34"/>
      <c r="E6" s="34"/>
      <c r="F6" s="616"/>
      <c r="G6" s="616"/>
      <c r="H6" s="616"/>
      <c r="I6" s="616"/>
      <c r="J6" s="616"/>
      <c r="K6" s="616"/>
      <c r="L6" s="616"/>
      <c r="M6" s="616"/>
      <c r="N6" s="616"/>
      <c r="O6" s="616"/>
      <c r="P6" s="616"/>
      <c r="Q6" s="616"/>
      <c r="R6" s="702"/>
      <c r="S6" s="702"/>
      <c r="T6" s="702">
        <v>3000</v>
      </c>
      <c r="U6" s="702">
        <v>6000</v>
      </c>
      <c r="V6" s="702">
        <v>4000</v>
      </c>
      <c r="W6" s="702">
        <v>3000</v>
      </c>
      <c r="X6" s="702">
        <v>6000</v>
      </c>
      <c r="Y6" s="702">
        <v>3000</v>
      </c>
      <c r="Z6" s="702">
        <v>17000</v>
      </c>
      <c r="AA6" s="702">
        <v>44000</v>
      </c>
      <c r="AB6" s="702">
        <v>109000</v>
      </c>
      <c r="AC6" s="616"/>
      <c r="AD6" s="616"/>
      <c r="AE6" s="616"/>
      <c r="AF6" s="616"/>
    </row>
    <row r="7" spans="1:40">
      <c r="A7" s="34"/>
      <c r="B7" s="34"/>
      <c r="C7" s="34"/>
      <c r="D7" s="34"/>
      <c r="E7" s="34"/>
      <c r="F7" s="616"/>
      <c r="G7" s="616"/>
      <c r="H7" s="616"/>
      <c r="I7" s="616"/>
      <c r="J7" s="616"/>
      <c r="K7" s="616"/>
      <c r="L7" s="616"/>
      <c r="M7" s="616"/>
      <c r="N7" s="616"/>
      <c r="O7" s="616"/>
      <c r="P7" s="616"/>
      <c r="Q7" s="616"/>
      <c r="R7" s="616">
        <v>47267</v>
      </c>
      <c r="S7" s="616">
        <v>5892</v>
      </c>
      <c r="T7" s="616">
        <v>80000</v>
      </c>
      <c r="U7" s="616">
        <v>12000</v>
      </c>
      <c r="V7" s="616">
        <v>4000</v>
      </c>
      <c r="W7" s="616">
        <v>5000</v>
      </c>
      <c r="X7" s="616">
        <v>6000</v>
      </c>
      <c r="Y7" s="616">
        <v>3000</v>
      </c>
      <c r="Z7" s="616">
        <v>47000</v>
      </c>
      <c r="AA7" s="616">
        <v>44000</v>
      </c>
      <c r="AB7" s="616">
        <v>150000</v>
      </c>
      <c r="AC7" s="616"/>
      <c r="AD7" s="616"/>
      <c r="AE7" s="616"/>
      <c r="AF7" s="616"/>
    </row>
    <row r="8" spans="1:40" ht="13.5">
      <c r="A8" s="34"/>
      <c r="B8" s="34" t="s">
        <v>135</v>
      </c>
      <c r="C8" s="754"/>
      <c r="D8" s="754"/>
      <c r="E8" s="34"/>
      <c r="F8" s="616">
        <v>83327</v>
      </c>
      <c r="G8" s="616">
        <v>93160</v>
      </c>
      <c r="H8" s="616">
        <v>182088</v>
      </c>
      <c r="I8" s="616">
        <v>138707</v>
      </c>
      <c r="J8" s="616">
        <v>188812</v>
      </c>
      <c r="K8" s="616">
        <v>180706</v>
      </c>
      <c r="L8" s="616">
        <v>257346</v>
      </c>
      <c r="M8" s="616">
        <v>222439</v>
      </c>
      <c r="N8" s="616">
        <v>219208</v>
      </c>
      <c r="O8" s="616">
        <v>468752</v>
      </c>
      <c r="P8" s="616">
        <v>188933</v>
      </c>
      <c r="Q8" s="616">
        <v>198663</v>
      </c>
      <c r="R8" s="616">
        <v>246530</v>
      </c>
      <c r="S8" s="616">
        <v>335548</v>
      </c>
      <c r="T8" s="616">
        <v>165000</v>
      </c>
      <c r="U8" s="616">
        <v>168000</v>
      </c>
      <c r="V8" s="616">
        <v>110000</v>
      </c>
      <c r="W8" s="616">
        <v>91000</v>
      </c>
      <c r="X8" s="616">
        <v>78000</v>
      </c>
      <c r="Y8" s="616">
        <v>65000</v>
      </c>
      <c r="Z8" s="616">
        <v>85000</v>
      </c>
      <c r="AA8" s="616">
        <v>102000</v>
      </c>
      <c r="AB8" s="616">
        <v>168000</v>
      </c>
      <c r="AC8" s="616"/>
      <c r="AD8" s="616"/>
      <c r="AE8" s="616"/>
      <c r="AF8" s="616"/>
    </row>
    <row r="9" spans="1:40" ht="13.5">
      <c r="A9" s="34"/>
      <c r="B9" s="34" t="s">
        <v>136</v>
      </c>
      <c r="C9" s="754"/>
      <c r="D9" s="754"/>
      <c r="E9" s="34"/>
      <c r="F9" s="616"/>
      <c r="G9" s="616"/>
      <c r="H9" s="616"/>
      <c r="I9" s="616"/>
      <c r="J9" s="616"/>
      <c r="K9" s="616"/>
      <c r="L9" s="616"/>
      <c r="M9" s="616"/>
      <c r="N9" s="616"/>
      <c r="O9" s="616"/>
      <c r="P9" s="616"/>
      <c r="Q9" s="616"/>
      <c r="R9" s="616"/>
      <c r="S9" s="616"/>
      <c r="T9" s="616">
        <v>113000</v>
      </c>
      <c r="U9" s="616">
        <v>131000</v>
      </c>
      <c r="V9" s="616">
        <v>115000</v>
      </c>
      <c r="W9" s="616">
        <v>101000</v>
      </c>
      <c r="X9" s="616">
        <v>100000</v>
      </c>
      <c r="Y9" s="616">
        <v>96000</v>
      </c>
      <c r="Z9" s="616">
        <v>93000</v>
      </c>
      <c r="AA9" s="616">
        <v>75000</v>
      </c>
      <c r="AB9" s="616">
        <v>76000</v>
      </c>
      <c r="AC9" s="616"/>
      <c r="AD9" s="616"/>
      <c r="AE9" s="616"/>
      <c r="AF9" s="616"/>
    </row>
    <row r="10" spans="1:40" ht="13.5">
      <c r="A10" s="34"/>
      <c r="B10" s="34" t="s">
        <v>1181</v>
      </c>
      <c r="C10" s="754"/>
      <c r="D10" s="754"/>
      <c r="E10" s="34"/>
      <c r="F10" s="702">
        <v>-543</v>
      </c>
      <c r="G10" s="702">
        <v>-1376</v>
      </c>
      <c r="H10" s="702">
        <v>-2023</v>
      </c>
      <c r="I10" s="702">
        <v>-1874</v>
      </c>
      <c r="J10" s="702">
        <v>-1906</v>
      </c>
      <c r="K10" s="702">
        <v>-2243</v>
      </c>
      <c r="L10" s="702">
        <v>-3333</v>
      </c>
      <c r="M10" s="702">
        <v>-3730</v>
      </c>
      <c r="N10" s="702">
        <v>-3057</v>
      </c>
      <c r="O10" s="702">
        <v>-2839</v>
      </c>
      <c r="P10" s="702">
        <v>-3239</v>
      </c>
      <c r="Q10" s="702">
        <v>-3024</v>
      </c>
      <c r="R10" s="702">
        <v>-6307</v>
      </c>
      <c r="S10" s="702">
        <v>-5931</v>
      </c>
      <c r="T10" s="702">
        <v>-7000</v>
      </c>
      <c r="U10" s="702">
        <v>-12000</v>
      </c>
      <c r="V10" s="702">
        <v>-10000</v>
      </c>
      <c r="W10" s="702">
        <v>-5000</v>
      </c>
      <c r="X10" s="702">
        <v>-3000</v>
      </c>
      <c r="Y10" s="702">
        <v>-2000</v>
      </c>
      <c r="Z10" s="702">
        <v>-2000</v>
      </c>
      <c r="AA10" s="702">
        <v>-3000</v>
      </c>
      <c r="AB10" s="702">
        <v>-2000</v>
      </c>
      <c r="AC10" s="616"/>
      <c r="AD10" s="616"/>
      <c r="AE10" s="616"/>
      <c r="AF10" s="616"/>
    </row>
    <row r="11" spans="1:40" ht="13.5">
      <c r="A11" s="34"/>
      <c r="B11" s="34" t="s">
        <v>138</v>
      </c>
      <c r="C11" s="754"/>
      <c r="D11" s="754"/>
      <c r="E11" s="34"/>
      <c r="F11" s="616">
        <v>82784</v>
      </c>
      <c r="G11" s="616">
        <v>91784</v>
      </c>
      <c r="H11" s="616">
        <v>180065</v>
      </c>
      <c r="I11" s="616">
        <v>136833</v>
      </c>
      <c r="J11" s="616">
        <v>186906</v>
      </c>
      <c r="K11" s="616">
        <v>178463</v>
      </c>
      <c r="L11" s="616">
        <v>254013</v>
      </c>
      <c r="M11" s="616">
        <v>218709</v>
      </c>
      <c r="N11" s="616">
        <v>216151</v>
      </c>
      <c r="O11" s="616">
        <v>465913</v>
      </c>
      <c r="P11" s="616">
        <v>185694</v>
      </c>
      <c r="Q11" s="616">
        <v>195639</v>
      </c>
      <c r="R11" s="616">
        <v>240223</v>
      </c>
      <c r="S11" s="616">
        <v>329617</v>
      </c>
      <c r="T11" s="616">
        <v>271000</v>
      </c>
      <c r="U11" s="616">
        <v>287000</v>
      </c>
      <c r="V11" s="616">
        <v>215000</v>
      </c>
      <c r="W11" s="616">
        <v>187000</v>
      </c>
      <c r="X11" s="616">
        <v>175000</v>
      </c>
      <c r="Y11" s="616">
        <v>159000</v>
      </c>
      <c r="Z11" s="616">
        <v>176000</v>
      </c>
      <c r="AA11" s="728">
        <v>174000</v>
      </c>
      <c r="AB11" s="616">
        <v>242000</v>
      </c>
      <c r="AC11" s="616"/>
      <c r="AD11" s="616"/>
      <c r="AE11" s="616"/>
      <c r="AF11" s="616"/>
    </row>
    <row r="12" spans="1:40" ht="13.5">
      <c r="A12" s="34"/>
      <c r="B12" s="34" t="s">
        <v>139</v>
      </c>
      <c r="C12" s="754"/>
      <c r="D12" s="754"/>
      <c r="E12" s="34"/>
      <c r="F12" s="616">
        <v>0</v>
      </c>
      <c r="G12" s="616">
        <v>3236</v>
      </c>
      <c r="H12" s="616">
        <v>2591</v>
      </c>
      <c r="I12" s="616">
        <v>16832</v>
      </c>
      <c r="J12" s="616">
        <v>22822</v>
      </c>
      <c r="K12" s="616">
        <v>34439</v>
      </c>
      <c r="L12" s="616">
        <v>35722</v>
      </c>
      <c r="M12" s="616">
        <v>7425</v>
      </c>
      <c r="N12" s="616">
        <v>5551</v>
      </c>
      <c r="O12" s="616">
        <v>5221</v>
      </c>
      <c r="P12" s="616">
        <v>2462</v>
      </c>
      <c r="Q12" s="616">
        <v>3475</v>
      </c>
      <c r="R12" s="616">
        <v>2985</v>
      </c>
      <c r="S12" s="616">
        <v>11827</v>
      </c>
      <c r="T12" s="755">
        <v>3000</v>
      </c>
      <c r="U12" s="755">
        <v>3000</v>
      </c>
      <c r="V12" s="755">
        <v>2000</v>
      </c>
      <c r="W12" s="755">
        <v>2000</v>
      </c>
      <c r="X12" s="755">
        <v>3000</v>
      </c>
      <c r="Y12" s="755">
        <v>3000</v>
      </c>
      <c r="Z12" s="616">
        <v>4000</v>
      </c>
      <c r="AA12" s="616">
        <v>4000</v>
      </c>
      <c r="AB12" s="616">
        <v>4000</v>
      </c>
      <c r="AC12" s="616"/>
      <c r="AD12" s="616"/>
      <c r="AE12" s="616"/>
      <c r="AF12" s="616"/>
    </row>
    <row r="13" spans="1:40" ht="13.5">
      <c r="A13" s="34"/>
      <c r="B13" s="34" t="s">
        <v>140</v>
      </c>
      <c r="C13" s="754"/>
      <c r="D13" s="754"/>
      <c r="E13" s="34"/>
      <c r="F13" s="616"/>
      <c r="G13" s="616"/>
      <c r="H13" s="616"/>
      <c r="I13" s="616"/>
      <c r="J13" s="616"/>
      <c r="K13" s="616"/>
      <c r="L13" s="616"/>
      <c r="M13" s="616"/>
      <c r="N13" s="616"/>
      <c r="O13" s="616"/>
      <c r="P13" s="616"/>
      <c r="Q13" s="616"/>
      <c r="R13" s="616">
        <v>0</v>
      </c>
      <c r="S13" s="616">
        <v>9900</v>
      </c>
      <c r="T13" s="755">
        <v>69000</v>
      </c>
      <c r="U13" s="755">
        <v>2000</v>
      </c>
      <c r="V13" s="755">
        <v>0</v>
      </c>
      <c r="W13" s="755"/>
      <c r="X13" s="755">
        <v>12000</v>
      </c>
      <c r="Y13" s="755">
        <v>13000</v>
      </c>
      <c r="Z13" s="616">
        <v>16000</v>
      </c>
      <c r="AA13" s="616">
        <v>13000</v>
      </c>
      <c r="AB13" s="616">
        <v>9000</v>
      </c>
      <c r="AC13" s="616"/>
      <c r="AD13" s="616"/>
      <c r="AE13" s="616"/>
      <c r="AF13" s="616"/>
    </row>
    <row r="14" spans="1:40">
      <c r="A14" s="34"/>
      <c r="B14" s="34" t="s">
        <v>141</v>
      </c>
      <c r="C14" s="34"/>
      <c r="D14" s="34"/>
      <c r="E14" s="34"/>
      <c r="F14" s="616">
        <v>2720</v>
      </c>
      <c r="G14" s="616">
        <v>2509</v>
      </c>
      <c r="H14" s="616">
        <v>2744</v>
      </c>
      <c r="I14" s="616">
        <v>2908</v>
      </c>
      <c r="J14" s="616">
        <v>2884</v>
      </c>
      <c r="K14" s="616">
        <v>3140</v>
      </c>
      <c r="L14" s="616">
        <v>3378</v>
      </c>
      <c r="M14" s="616">
        <v>3106</v>
      </c>
      <c r="N14" s="616">
        <v>12241</v>
      </c>
      <c r="O14" s="616">
        <v>9439</v>
      </c>
      <c r="P14" s="616">
        <v>8407</v>
      </c>
      <c r="Q14" s="616">
        <v>7473</v>
      </c>
      <c r="R14" s="616">
        <v>111512</v>
      </c>
      <c r="S14" s="616">
        <v>131114</v>
      </c>
      <c r="T14" s="616">
        <v>137000</v>
      </c>
      <c r="U14" s="616">
        <v>168000</v>
      </c>
      <c r="V14" s="616">
        <v>163000</v>
      </c>
      <c r="W14" s="616">
        <v>104000</v>
      </c>
      <c r="X14" s="616">
        <v>70000</v>
      </c>
      <c r="Y14" s="616">
        <v>58000</v>
      </c>
      <c r="Z14" s="616">
        <v>42000</v>
      </c>
      <c r="AA14" s="616">
        <v>56000</v>
      </c>
      <c r="AB14" s="616">
        <v>69000</v>
      </c>
      <c r="AC14" s="616"/>
      <c r="AD14" s="616"/>
      <c r="AE14" s="616"/>
      <c r="AF14" s="616"/>
    </row>
    <row r="15" spans="1:40">
      <c r="A15" s="34"/>
      <c r="B15" s="34" t="s">
        <v>1186</v>
      </c>
      <c r="C15" s="34"/>
      <c r="D15" s="34"/>
      <c r="E15" s="34"/>
      <c r="F15" s="702">
        <v>0</v>
      </c>
      <c r="G15" s="702">
        <v>0</v>
      </c>
      <c r="H15" s="702">
        <v>0</v>
      </c>
      <c r="I15" s="702">
        <v>0</v>
      </c>
      <c r="J15" s="702">
        <v>0</v>
      </c>
      <c r="K15" s="702">
        <v>0</v>
      </c>
      <c r="L15" s="702">
        <v>0</v>
      </c>
      <c r="M15" s="702">
        <v>0</v>
      </c>
      <c r="N15" s="702">
        <v>-1276</v>
      </c>
      <c r="O15" s="702">
        <v>-1188</v>
      </c>
      <c r="P15" s="702">
        <v>-1108</v>
      </c>
      <c r="Q15" s="702">
        <v>-1444</v>
      </c>
      <c r="R15" s="702">
        <v>9865</v>
      </c>
      <c r="S15" s="702">
        <v>17015</v>
      </c>
      <c r="T15" s="702"/>
      <c r="U15" s="702"/>
      <c r="V15" s="702"/>
      <c r="W15" s="702">
        <v>12000</v>
      </c>
      <c r="X15" s="702">
        <v>7000</v>
      </c>
      <c r="Y15" s="702"/>
      <c r="Z15" s="702"/>
      <c r="AA15" s="702"/>
      <c r="AB15" s="702"/>
      <c r="AC15" s="616"/>
      <c r="AD15" s="616"/>
      <c r="AE15" s="616"/>
      <c r="AF15" s="616"/>
    </row>
    <row r="16" spans="1:40">
      <c r="A16" s="34"/>
      <c r="B16" s="34"/>
      <c r="C16" s="34"/>
      <c r="D16" s="45"/>
      <c r="E16" s="34"/>
      <c r="F16" s="616">
        <v>2720</v>
      </c>
      <c r="G16" s="616">
        <v>2509</v>
      </c>
      <c r="H16" s="616">
        <v>2744</v>
      </c>
      <c r="I16" s="616">
        <v>2908</v>
      </c>
      <c r="J16" s="616">
        <v>2884</v>
      </c>
      <c r="K16" s="616">
        <v>3140</v>
      </c>
      <c r="L16" s="616">
        <v>3378</v>
      </c>
      <c r="M16" s="616">
        <v>3106</v>
      </c>
      <c r="N16" s="616">
        <v>10965</v>
      </c>
      <c r="O16" s="616">
        <v>8251</v>
      </c>
      <c r="P16" s="616">
        <v>7299</v>
      </c>
      <c r="Q16" s="616">
        <v>6029</v>
      </c>
      <c r="R16" s="616">
        <v>124362</v>
      </c>
      <c r="S16" s="616">
        <v>169856</v>
      </c>
      <c r="T16" s="616">
        <v>209000</v>
      </c>
      <c r="U16" s="616">
        <v>173000</v>
      </c>
      <c r="V16" s="616">
        <v>165000</v>
      </c>
      <c r="W16" s="616">
        <v>118000</v>
      </c>
      <c r="X16" s="616">
        <v>92000</v>
      </c>
      <c r="Y16" s="616">
        <v>74000</v>
      </c>
      <c r="Z16" s="616">
        <v>62000</v>
      </c>
      <c r="AA16" s="616">
        <v>73000</v>
      </c>
      <c r="AB16" s="616">
        <v>82000</v>
      </c>
      <c r="AD16" s="616"/>
      <c r="AE16" s="616"/>
      <c r="AF16" s="616"/>
    </row>
    <row r="17" spans="1:32">
      <c r="A17" s="34"/>
      <c r="B17" s="34"/>
      <c r="C17" s="34"/>
      <c r="D17" s="45"/>
      <c r="E17" s="34"/>
      <c r="F17" s="616"/>
      <c r="G17" s="616"/>
      <c r="H17" s="616"/>
      <c r="I17" s="616"/>
      <c r="J17" s="616"/>
      <c r="K17" s="616"/>
      <c r="L17" s="616"/>
      <c r="M17" s="616"/>
      <c r="N17" s="616"/>
      <c r="O17" s="616"/>
      <c r="P17" s="616"/>
      <c r="Q17" s="616"/>
      <c r="R17" s="616"/>
      <c r="S17" s="616"/>
      <c r="T17" s="616"/>
      <c r="U17" s="616"/>
      <c r="V17" s="616"/>
      <c r="W17" s="616"/>
      <c r="X17" s="616"/>
      <c r="Y17" s="616"/>
      <c r="Z17" s="616"/>
      <c r="AA17" s="616"/>
      <c r="AB17" s="616"/>
      <c r="AD17" s="616"/>
      <c r="AE17" s="616"/>
      <c r="AF17" s="616"/>
    </row>
    <row r="18" spans="1:32">
      <c r="A18" s="34"/>
      <c r="B18" s="34" t="s">
        <v>1441</v>
      </c>
      <c r="C18" s="34"/>
      <c r="D18" s="34"/>
      <c r="E18" s="34"/>
      <c r="F18" s="616">
        <v>179263</v>
      </c>
      <c r="G18" s="616">
        <v>131091</v>
      </c>
      <c r="H18" s="616">
        <v>238229</v>
      </c>
      <c r="I18" s="616">
        <v>166535</v>
      </c>
      <c r="J18" s="616">
        <v>267949</v>
      </c>
      <c r="K18" s="616">
        <v>320304</v>
      </c>
      <c r="L18" s="616">
        <v>333940</v>
      </c>
      <c r="M18" s="616">
        <v>481064</v>
      </c>
      <c r="N18" s="616">
        <v>277422</v>
      </c>
      <c r="O18" s="616">
        <v>551127</v>
      </c>
      <c r="P18" s="616">
        <v>243332</v>
      </c>
      <c r="Q18" s="616">
        <v>259537</v>
      </c>
      <c r="R18" s="616">
        <v>414837</v>
      </c>
      <c r="S18" s="616">
        <v>527092</v>
      </c>
      <c r="T18" s="616">
        <v>632000</v>
      </c>
      <c r="U18" s="616">
        <v>477000</v>
      </c>
      <c r="V18" s="616">
        <v>386000</v>
      </c>
      <c r="W18" s="616">
        <v>312000</v>
      </c>
      <c r="X18" s="616">
        <v>288000</v>
      </c>
      <c r="Y18" s="616">
        <v>252000</v>
      </c>
      <c r="Z18" s="616">
        <v>305000</v>
      </c>
      <c r="AA18" s="616">
        <v>308000</v>
      </c>
      <c r="AB18" s="616">
        <v>487000</v>
      </c>
      <c r="AC18" s="616"/>
      <c r="AD18" s="616"/>
      <c r="AE18" s="616"/>
      <c r="AF18" s="616"/>
    </row>
    <row r="19" spans="1:32">
      <c r="A19" s="34"/>
      <c r="B19" s="34"/>
      <c r="C19" s="34"/>
      <c r="D19" s="34"/>
      <c r="E19" s="34"/>
      <c r="F19" s="616"/>
      <c r="G19" s="616"/>
      <c r="H19" s="616"/>
      <c r="I19" s="616"/>
      <c r="J19" s="616"/>
      <c r="K19" s="616"/>
      <c r="L19" s="616"/>
      <c r="M19" s="616"/>
      <c r="N19" s="616"/>
      <c r="O19" s="616"/>
      <c r="P19" s="616"/>
      <c r="Q19" s="616"/>
      <c r="R19" s="616"/>
      <c r="S19" s="616"/>
      <c r="T19" s="616"/>
      <c r="U19" s="616"/>
      <c r="V19" s="616"/>
      <c r="W19" s="616"/>
      <c r="X19" s="616"/>
      <c r="Y19" s="616"/>
      <c r="Z19" s="616"/>
      <c r="AA19" s="616"/>
      <c r="AB19" s="616"/>
      <c r="AC19" s="616"/>
      <c r="AD19" s="616"/>
      <c r="AE19" s="616"/>
      <c r="AF19" s="616"/>
    </row>
    <row r="20" spans="1:32">
      <c r="A20" s="34"/>
      <c r="B20" s="34" t="s">
        <v>143</v>
      </c>
      <c r="C20" s="34"/>
      <c r="D20" s="34"/>
      <c r="E20" s="34"/>
      <c r="F20" s="616">
        <v>0</v>
      </c>
      <c r="G20" s="616">
        <v>0</v>
      </c>
      <c r="H20" s="616">
        <v>0</v>
      </c>
      <c r="I20" s="616">
        <v>0</v>
      </c>
      <c r="J20" s="616">
        <v>0</v>
      </c>
      <c r="K20" s="616">
        <v>0</v>
      </c>
      <c r="L20" s="616">
        <v>0</v>
      </c>
      <c r="M20" s="616">
        <v>0</v>
      </c>
      <c r="N20" s="616">
        <v>0</v>
      </c>
      <c r="O20" s="616">
        <v>0</v>
      </c>
      <c r="P20" s="616">
        <v>0</v>
      </c>
      <c r="Q20" s="616">
        <v>4984</v>
      </c>
      <c r="R20" s="616">
        <v>7628</v>
      </c>
      <c r="S20" s="616">
        <v>7600</v>
      </c>
      <c r="T20" s="616">
        <v>11000</v>
      </c>
      <c r="U20" s="616">
        <v>11000</v>
      </c>
      <c r="V20" s="616">
        <v>30000</v>
      </c>
      <c r="W20" s="616">
        <v>17000</v>
      </c>
      <c r="X20" s="616">
        <v>11000</v>
      </c>
      <c r="Y20" s="616">
        <v>7000</v>
      </c>
      <c r="Z20" s="616"/>
      <c r="AA20" s="616"/>
      <c r="AB20" s="616"/>
      <c r="AC20" s="616"/>
      <c r="AD20" s="616"/>
      <c r="AE20" s="616"/>
      <c r="AF20" s="616"/>
    </row>
    <row r="21" spans="1:32">
      <c r="A21" s="34"/>
      <c r="B21" s="34" t="s">
        <v>1196</v>
      </c>
      <c r="C21" s="34"/>
      <c r="D21" s="34"/>
      <c r="E21" s="34"/>
      <c r="F21" s="616"/>
      <c r="G21" s="616"/>
      <c r="H21" s="616"/>
      <c r="I21" s="616"/>
      <c r="J21" s="616"/>
      <c r="K21" s="616"/>
      <c r="L21" s="616"/>
      <c r="M21" s="616"/>
      <c r="N21" s="616"/>
      <c r="O21" s="616"/>
      <c r="P21" s="616"/>
      <c r="Q21" s="616"/>
      <c r="R21" s="616">
        <v>51512</v>
      </c>
      <c r="S21" s="616">
        <v>51512</v>
      </c>
      <c r="T21" s="616"/>
      <c r="U21" s="616"/>
      <c r="V21" s="616"/>
      <c r="W21" s="616"/>
      <c r="X21" s="616"/>
      <c r="Y21" s="616"/>
      <c r="Z21" s="616"/>
      <c r="AA21" s="616"/>
      <c r="AB21" s="616"/>
      <c r="AC21" s="616"/>
      <c r="AD21" s="616"/>
      <c r="AE21" s="616"/>
      <c r="AF21" s="616"/>
    </row>
    <row r="22" spans="1:32">
      <c r="A22" s="34"/>
      <c r="B22" s="34" t="s">
        <v>1193</v>
      </c>
      <c r="C22" s="34"/>
      <c r="D22" s="34"/>
      <c r="E22" s="34"/>
      <c r="F22" s="616">
        <v>0</v>
      </c>
      <c r="G22" s="616">
        <v>0</v>
      </c>
      <c r="H22" s="616">
        <v>0</v>
      </c>
      <c r="I22" s="616">
        <v>0</v>
      </c>
      <c r="J22" s="616">
        <v>0</v>
      </c>
      <c r="K22" s="616">
        <v>0</v>
      </c>
      <c r="L22" s="616">
        <v>0</v>
      </c>
      <c r="M22" s="616">
        <v>0</v>
      </c>
      <c r="N22" s="616">
        <v>16567</v>
      </c>
      <c r="O22" s="616">
        <v>11780</v>
      </c>
      <c r="P22" s="616">
        <v>6993</v>
      </c>
      <c r="Q22" s="616">
        <v>6077</v>
      </c>
      <c r="R22" s="616">
        <v>2935</v>
      </c>
      <c r="S22" s="616">
        <v>10163</v>
      </c>
      <c r="T22" s="616">
        <v>6000</v>
      </c>
      <c r="U22" s="616">
        <v>2000</v>
      </c>
      <c r="V22" s="616">
        <v>2000</v>
      </c>
      <c r="W22" s="616">
        <v>1000</v>
      </c>
      <c r="X22" s="616"/>
      <c r="Y22" s="616">
        <v>299000</v>
      </c>
      <c r="Z22" s="616"/>
      <c r="AA22" s="616"/>
      <c r="AB22" s="616"/>
      <c r="AC22" s="616"/>
      <c r="AD22" s="616"/>
      <c r="AE22" s="616"/>
      <c r="AF22" s="616"/>
    </row>
    <row r="23" spans="1:32">
      <c r="A23" s="34"/>
      <c r="B23" s="34" t="s">
        <v>154</v>
      </c>
      <c r="C23" s="34"/>
      <c r="D23" s="34"/>
      <c r="E23" s="34"/>
      <c r="F23" s="616">
        <v>0</v>
      </c>
      <c r="G23" s="616">
        <v>0</v>
      </c>
      <c r="H23" s="616">
        <v>0</v>
      </c>
      <c r="I23" s="616">
        <v>0</v>
      </c>
      <c r="J23" s="616">
        <v>0</v>
      </c>
      <c r="K23" s="616">
        <v>0</v>
      </c>
      <c r="L23" s="616">
        <v>0</v>
      </c>
      <c r="M23" s="616">
        <v>0</v>
      </c>
      <c r="N23" s="616">
        <v>0</v>
      </c>
      <c r="O23" s="616">
        <v>2811</v>
      </c>
      <c r="P23" s="616">
        <v>2211</v>
      </c>
      <c r="Q23" s="616">
        <v>294</v>
      </c>
      <c r="R23" s="616">
        <v>11603</v>
      </c>
      <c r="S23" s="616">
        <v>310</v>
      </c>
      <c r="T23" s="616"/>
      <c r="U23" s="616"/>
      <c r="V23" s="616"/>
      <c r="W23" s="616"/>
      <c r="X23" s="616"/>
      <c r="Y23" s="616"/>
      <c r="Z23" s="616">
        <v>11000</v>
      </c>
      <c r="AA23" s="616">
        <v>14000</v>
      </c>
      <c r="AB23" s="616">
        <v>10000</v>
      </c>
      <c r="AC23" s="616"/>
      <c r="AD23" s="616"/>
      <c r="AE23" s="616"/>
      <c r="AF23" s="616"/>
    </row>
    <row r="24" spans="1:32">
      <c r="A24" s="34"/>
      <c r="B24" s="1120" t="s">
        <v>151</v>
      </c>
      <c r="C24" s="1111"/>
      <c r="D24" s="1111"/>
      <c r="E24" s="34"/>
      <c r="F24" s="616">
        <v>0</v>
      </c>
      <c r="G24" s="616">
        <v>0</v>
      </c>
      <c r="H24" s="616">
        <v>0</v>
      </c>
      <c r="I24" s="616">
        <v>0</v>
      </c>
      <c r="J24" s="616">
        <v>0</v>
      </c>
      <c r="K24" s="616">
        <v>0</v>
      </c>
      <c r="L24" s="616">
        <v>0</v>
      </c>
      <c r="M24" s="616">
        <v>0</v>
      </c>
      <c r="N24" s="616">
        <v>26948</v>
      </c>
      <c r="O24" s="616">
        <v>38856</v>
      </c>
      <c r="P24" s="616">
        <v>110690</v>
      </c>
      <c r="Q24" s="616">
        <v>83639</v>
      </c>
      <c r="R24" s="616">
        <v>2017</v>
      </c>
      <c r="S24" s="616">
        <v>3843</v>
      </c>
      <c r="T24" s="616">
        <v>10000</v>
      </c>
      <c r="U24" s="616">
        <v>12000</v>
      </c>
      <c r="V24" s="616">
        <v>84000</v>
      </c>
      <c r="W24" s="616">
        <v>110000</v>
      </c>
      <c r="X24" s="616">
        <v>46000</v>
      </c>
      <c r="Y24" s="616">
        <v>65000</v>
      </c>
      <c r="Z24" s="616">
        <v>93000</v>
      </c>
      <c r="AA24" s="616">
        <v>156000</v>
      </c>
      <c r="AB24" s="616">
        <v>126000</v>
      </c>
      <c r="AC24" s="616"/>
      <c r="AD24" s="616"/>
      <c r="AE24" s="616"/>
      <c r="AF24" s="616"/>
    </row>
    <row r="25" spans="1:32">
      <c r="A25" s="34"/>
      <c r="B25" s="34" t="s">
        <v>1158</v>
      </c>
      <c r="C25" s="34"/>
      <c r="D25" s="34"/>
      <c r="E25" s="34"/>
      <c r="F25" s="1025">
        <v>17079</v>
      </c>
      <c r="G25" s="1025">
        <v>24826</v>
      </c>
      <c r="H25" s="1025">
        <v>22846</v>
      </c>
      <c r="I25" s="1025">
        <v>52417</v>
      </c>
      <c r="J25" s="1025">
        <v>240509</v>
      </c>
      <c r="K25" s="1025">
        <v>217195</v>
      </c>
      <c r="L25" s="1025">
        <v>180746</v>
      </c>
      <c r="M25" s="1025">
        <v>26594</v>
      </c>
      <c r="N25" s="1025">
        <v>49592</v>
      </c>
      <c r="O25" s="1025">
        <v>42358</v>
      </c>
      <c r="P25" s="1025">
        <v>43633</v>
      </c>
      <c r="Q25" s="1025">
        <v>50053</v>
      </c>
      <c r="R25" s="616">
        <v>160383</v>
      </c>
      <c r="S25" s="1025">
        <v>188000</v>
      </c>
      <c r="T25" s="1025">
        <v>260000</v>
      </c>
      <c r="U25" s="1025">
        <v>327000</v>
      </c>
      <c r="V25" s="1025">
        <v>329000</v>
      </c>
      <c r="W25" s="1025">
        <v>333000</v>
      </c>
      <c r="X25" s="1025">
        <v>332000</v>
      </c>
      <c r="Y25" s="1025">
        <v>272000</v>
      </c>
      <c r="Z25" s="1025">
        <v>260000</v>
      </c>
      <c r="AA25" s="1025">
        <v>230000</v>
      </c>
      <c r="AB25" s="1025">
        <v>237000</v>
      </c>
      <c r="AC25" s="616"/>
      <c r="AD25" s="616"/>
      <c r="AE25" s="616"/>
      <c r="AF25" s="616"/>
    </row>
    <row r="26" spans="1:32">
      <c r="A26" s="34"/>
      <c r="B26" s="34" t="s">
        <v>226</v>
      </c>
      <c r="C26" s="34"/>
      <c r="D26" s="45"/>
      <c r="E26" s="34"/>
      <c r="F26" s="1025"/>
      <c r="G26" s="1025"/>
      <c r="H26" s="1025"/>
      <c r="I26" s="1025"/>
      <c r="J26" s="1025"/>
      <c r="K26" s="1025"/>
      <c r="L26" s="1025"/>
      <c r="M26" s="1025"/>
      <c r="N26" s="1025"/>
      <c r="O26" s="1025"/>
      <c r="P26" s="1025"/>
      <c r="Q26" s="1025"/>
      <c r="R26" s="702">
        <v>181941</v>
      </c>
      <c r="S26" s="702">
        <v>182000</v>
      </c>
      <c r="T26" s="702">
        <v>182000</v>
      </c>
      <c r="U26" s="702">
        <v>182000</v>
      </c>
      <c r="V26" s="702">
        <v>182000</v>
      </c>
      <c r="W26" s="702">
        <v>182000</v>
      </c>
      <c r="X26" s="702">
        <v>182000</v>
      </c>
      <c r="Y26" s="702">
        <v>179000</v>
      </c>
      <c r="Z26" s="702">
        <v>179000</v>
      </c>
      <c r="AA26" s="702">
        <v>179000</v>
      </c>
      <c r="AB26" s="702">
        <v>220000</v>
      </c>
      <c r="AC26" s="616"/>
      <c r="AD26" s="616"/>
      <c r="AE26" s="616"/>
      <c r="AF26" s="616"/>
    </row>
    <row r="27" spans="1:32">
      <c r="A27" s="34"/>
      <c r="B27" s="34"/>
      <c r="C27" s="34"/>
      <c r="D27" s="45"/>
      <c r="E27" s="34"/>
      <c r="F27" s="616"/>
      <c r="G27" s="616"/>
      <c r="H27" s="616"/>
      <c r="I27" s="616"/>
      <c r="J27" s="616"/>
      <c r="K27" s="616"/>
      <c r="L27" s="616"/>
      <c r="M27" s="616"/>
      <c r="N27" s="616"/>
      <c r="O27" s="616"/>
      <c r="P27" s="616"/>
      <c r="Q27" s="616"/>
      <c r="R27" s="616">
        <v>418019</v>
      </c>
      <c r="S27" s="616">
        <v>443428</v>
      </c>
      <c r="T27" s="616">
        <v>469000</v>
      </c>
      <c r="U27" s="616">
        <v>534000</v>
      </c>
      <c r="V27" s="616">
        <v>627000</v>
      </c>
      <c r="W27" s="616">
        <v>643000</v>
      </c>
      <c r="X27" s="616">
        <v>571000</v>
      </c>
      <c r="Y27" s="616">
        <v>822000</v>
      </c>
      <c r="Z27" s="616">
        <v>543000</v>
      </c>
      <c r="AA27" s="616">
        <v>579000</v>
      </c>
      <c r="AB27" s="616">
        <v>593000</v>
      </c>
      <c r="AC27" s="616"/>
      <c r="AD27" s="616"/>
      <c r="AE27" s="616"/>
      <c r="AF27" s="616"/>
    </row>
    <row r="28" spans="1:32">
      <c r="A28" s="34"/>
      <c r="B28" s="34" t="s">
        <v>130</v>
      </c>
      <c r="C28" s="34"/>
      <c r="D28" s="34"/>
      <c r="E28" s="34"/>
      <c r="F28" s="616">
        <v>1819132</v>
      </c>
      <c r="G28" s="616">
        <v>2086591</v>
      </c>
      <c r="H28" s="616">
        <v>2225866</v>
      </c>
      <c r="I28" s="616">
        <v>2452025</v>
      </c>
      <c r="J28" s="616">
        <v>3162959</v>
      </c>
      <c r="K28" s="616">
        <v>3186769</v>
      </c>
      <c r="L28" s="616">
        <v>3592168</v>
      </c>
      <c r="M28" s="616">
        <v>4605643</v>
      </c>
      <c r="N28" s="616">
        <v>6120462</v>
      </c>
      <c r="O28" s="616">
        <v>6135215</v>
      </c>
      <c r="P28" s="616">
        <v>6164614</v>
      </c>
      <c r="Q28" s="616">
        <v>7749818</v>
      </c>
      <c r="R28" s="616">
        <v>4939583</v>
      </c>
      <c r="S28" s="616">
        <v>5059544</v>
      </c>
      <c r="T28" s="616">
        <v>5300000</v>
      </c>
      <c r="U28" s="616">
        <v>5966000</v>
      </c>
      <c r="V28" s="616">
        <v>6076000</v>
      </c>
      <c r="W28" s="616">
        <v>5683000</v>
      </c>
      <c r="X28" s="616">
        <v>5708000</v>
      </c>
      <c r="Y28" s="616">
        <v>5593000</v>
      </c>
      <c r="Z28" s="616">
        <v>5627000</v>
      </c>
      <c r="AA28" s="616">
        <v>5658000</v>
      </c>
      <c r="AB28" s="616">
        <v>5718000</v>
      </c>
      <c r="AC28" s="616"/>
      <c r="AD28" s="616"/>
      <c r="AE28" s="616"/>
      <c r="AF28" s="616"/>
    </row>
    <row r="29" spans="1:32">
      <c r="A29" s="34"/>
      <c r="B29" s="34" t="s">
        <v>157</v>
      </c>
      <c r="C29" s="34"/>
      <c r="D29" s="34"/>
      <c r="E29" s="34"/>
      <c r="F29" s="702" t="e">
        <v>#REF!</v>
      </c>
      <c r="G29" s="702" t="e">
        <v>#REF!</v>
      </c>
      <c r="H29" s="702" t="e">
        <v>#REF!</v>
      </c>
      <c r="I29" s="702" t="e">
        <v>#REF!</v>
      </c>
      <c r="J29" s="702" t="e">
        <v>#REF!</v>
      </c>
      <c r="K29" s="702" t="e">
        <v>#REF!</v>
      </c>
      <c r="L29" s="702" t="e">
        <v>#REF!</v>
      </c>
      <c r="M29" s="702" t="e">
        <v>#REF!</v>
      </c>
      <c r="N29" s="702" t="e">
        <v>#REF!</v>
      </c>
      <c r="O29" s="702" t="e">
        <v>#REF!</v>
      </c>
      <c r="P29" s="702" t="e">
        <v>#REF!</v>
      </c>
      <c r="Q29" s="702" t="e">
        <v>#REF!</v>
      </c>
      <c r="R29" s="616">
        <v>289263</v>
      </c>
      <c r="S29" s="616">
        <v>301486</v>
      </c>
      <c r="T29" s="616">
        <v>231000</v>
      </c>
      <c r="U29" s="616">
        <v>233000</v>
      </c>
      <c r="V29" s="616">
        <v>252000</v>
      </c>
      <c r="W29" s="616">
        <v>243000</v>
      </c>
      <c r="X29" s="616">
        <v>30000</v>
      </c>
      <c r="Y29" s="616">
        <v>108000</v>
      </c>
      <c r="Z29" s="616">
        <v>111000</v>
      </c>
      <c r="AA29" s="616">
        <v>119000</v>
      </c>
      <c r="AB29" s="616">
        <v>132000</v>
      </c>
      <c r="AC29" s="616"/>
      <c r="AD29" s="616"/>
      <c r="AE29" s="616"/>
      <c r="AF29" s="616"/>
    </row>
    <row r="30" spans="1:32">
      <c r="A30" s="34"/>
      <c r="B30" s="34" t="s">
        <v>1187</v>
      </c>
      <c r="C30" s="34"/>
      <c r="D30" s="34"/>
      <c r="E30" s="34"/>
      <c r="F30" s="616"/>
      <c r="G30" s="616"/>
      <c r="H30" s="616"/>
      <c r="I30" s="616"/>
      <c r="J30" s="616"/>
      <c r="K30" s="616"/>
      <c r="L30" s="616"/>
      <c r="M30" s="616"/>
      <c r="N30" s="616"/>
      <c r="O30" s="616"/>
      <c r="P30" s="616"/>
      <c r="Q30" s="616"/>
      <c r="R30" s="702">
        <v>53054</v>
      </c>
      <c r="S30" s="702">
        <v>56318</v>
      </c>
      <c r="T30" s="702">
        <v>28000</v>
      </c>
      <c r="U30" s="702">
        <v>27000</v>
      </c>
      <c r="V30" s="702">
        <v>33000</v>
      </c>
      <c r="W30" s="702">
        <v>30000</v>
      </c>
      <c r="X30" s="702">
        <v>240000</v>
      </c>
      <c r="Y30" s="702"/>
      <c r="Z30" s="702"/>
      <c r="AA30" s="702"/>
      <c r="AB30" s="702"/>
      <c r="AC30" s="616"/>
      <c r="AD30" s="616"/>
      <c r="AE30" s="616"/>
      <c r="AF30" s="616"/>
    </row>
    <row r="31" spans="1:32">
      <c r="A31" s="34"/>
      <c r="B31" s="34" t="s">
        <v>158</v>
      </c>
      <c r="C31" s="34"/>
      <c r="D31" s="34"/>
      <c r="E31" s="34"/>
      <c r="F31" s="616" t="e">
        <v>#REF!</v>
      </c>
      <c r="G31" s="616" t="e">
        <v>#REF!</v>
      </c>
      <c r="H31" s="616" t="e">
        <v>#REF!</v>
      </c>
      <c r="I31" s="616" t="e">
        <v>#REF!</v>
      </c>
      <c r="J31" s="616" t="e">
        <v>#REF!</v>
      </c>
      <c r="K31" s="616" t="e">
        <v>#REF!</v>
      </c>
      <c r="L31" s="616" t="e">
        <v>#REF!</v>
      </c>
      <c r="M31" s="616" t="e">
        <v>#REF!</v>
      </c>
      <c r="N31" s="616" t="e">
        <v>#REF!</v>
      </c>
      <c r="O31" s="616" t="e">
        <v>#REF!</v>
      </c>
      <c r="P31" s="616" t="e">
        <v>#REF!</v>
      </c>
      <c r="Q31" s="616" t="e">
        <v>#REF!</v>
      </c>
      <c r="R31" s="616">
        <v>5281900</v>
      </c>
      <c r="S31" s="616">
        <v>5417348</v>
      </c>
      <c r="T31" s="616">
        <v>5559000</v>
      </c>
      <c r="U31" s="616">
        <v>6226000</v>
      </c>
      <c r="V31" s="616">
        <v>6361000</v>
      </c>
      <c r="W31" s="616">
        <v>5956000</v>
      </c>
      <c r="X31" s="616">
        <v>5978000</v>
      </c>
      <c r="Y31" s="616">
        <v>5701000</v>
      </c>
      <c r="Z31" s="616">
        <v>5738000</v>
      </c>
      <c r="AA31" s="616">
        <v>5777000</v>
      </c>
      <c r="AB31" s="616">
        <v>5850000</v>
      </c>
      <c r="AC31" s="616"/>
      <c r="AD31" s="616"/>
      <c r="AE31" s="616"/>
      <c r="AF31" s="616"/>
    </row>
    <row r="32" spans="1:32">
      <c r="A32" s="34"/>
      <c r="B32" s="34" t="s">
        <v>159</v>
      </c>
      <c r="C32" s="34"/>
      <c r="D32" s="34"/>
      <c r="E32" s="34"/>
      <c r="F32" s="702" t="e">
        <v>#REF!</v>
      </c>
      <c r="G32" s="702" t="e">
        <v>#REF!</v>
      </c>
      <c r="H32" s="702" t="e">
        <v>#REF!</v>
      </c>
      <c r="I32" s="702" t="e">
        <v>#REF!</v>
      </c>
      <c r="J32" s="702" t="e">
        <v>#REF!</v>
      </c>
      <c r="K32" s="702" t="e">
        <v>#REF!</v>
      </c>
      <c r="L32" s="702" t="e">
        <v>#REF!</v>
      </c>
      <c r="M32" s="702" t="e">
        <v>#REF!</v>
      </c>
      <c r="N32" s="702" t="e">
        <v>#REF!</v>
      </c>
      <c r="O32" s="702" t="e">
        <v>#REF!</v>
      </c>
      <c r="P32" s="702" t="e">
        <v>#REF!</v>
      </c>
      <c r="Q32" s="702" t="e">
        <v>#REF!</v>
      </c>
      <c r="R32" s="702">
        <v>509774</v>
      </c>
      <c r="S32" s="702">
        <v>851620</v>
      </c>
      <c r="T32" s="702">
        <v>868000</v>
      </c>
      <c r="U32" s="702">
        <v>380000</v>
      </c>
      <c r="V32" s="702">
        <v>318000</v>
      </c>
      <c r="W32" s="702">
        <v>216000</v>
      </c>
      <c r="X32" s="702">
        <v>221000</v>
      </c>
      <c r="Y32" s="702">
        <v>151000</v>
      </c>
      <c r="Z32" s="702">
        <v>156000</v>
      </c>
      <c r="AA32" s="702">
        <v>197000</v>
      </c>
      <c r="AB32" s="702">
        <v>267000</v>
      </c>
      <c r="AC32" s="616"/>
      <c r="AD32" s="616"/>
      <c r="AE32" s="616"/>
      <c r="AF32" s="616"/>
    </row>
    <row r="33" spans="1:32">
      <c r="A33" s="34"/>
      <c r="B33" s="34"/>
      <c r="C33" s="34"/>
      <c r="D33" s="34"/>
      <c r="E33" s="34"/>
      <c r="F33" s="616" t="e">
        <v>#REF!</v>
      </c>
      <c r="G33" s="616" t="e">
        <v>#REF!</v>
      </c>
      <c r="H33" s="616" t="e">
        <v>#REF!</v>
      </c>
      <c r="I33" s="616" t="e">
        <v>#REF!</v>
      </c>
      <c r="J33" s="616" t="e">
        <v>#REF!</v>
      </c>
      <c r="K33" s="616" t="e">
        <v>#REF!</v>
      </c>
      <c r="L33" s="616" t="e">
        <v>#REF!</v>
      </c>
      <c r="M33" s="616" t="e">
        <v>#REF!</v>
      </c>
      <c r="N33" s="616" t="e">
        <v>#REF!</v>
      </c>
      <c r="O33" s="616" t="e">
        <v>#REF!</v>
      </c>
      <c r="P33" s="616" t="e">
        <v>#REF!</v>
      </c>
      <c r="Q33" s="616" t="e">
        <v>#REF!</v>
      </c>
      <c r="R33" s="616">
        <v>5791674</v>
      </c>
      <c r="S33" s="616">
        <v>6268968</v>
      </c>
      <c r="T33" s="616">
        <v>6427000</v>
      </c>
      <c r="U33" s="616">
        <v>6606000</v>
      </c>
      <c r="V33" s="616">
        <v>6679000</v>
      </c>
      <c r="W33" s="616">
        <v>6172000</v>
      </c>
      <c r="X33" s="616">
        <v>6199000</v>
      </c>
      <c r="Y33" s="616">
        <v>5852000</v>
      </c>
      <c r="Z33" s="616">
        <v>5894000</v>
      </c>
      <c r="AA33" s="616">
        <v>5974000</v>
      </c>
      <c r="AB33" s="616">
        <v>6117000</v>
      </c>
      <c r="AC33" s="616"/>
      <c r="AD33" s="616"/>
      <c r="AE33" s="616"/>
      <c r="AF33" s="616"/>
    </row>
    <row r="34" spans="1:32">
      <c r="A34" s="34"/>
      <c r="B34" s="34" t="s">
        <v>160</v>
      </c>
      <c r="C34" s="34"/>
      <c r="D34" s="34"/>
      <c r="E34" s="34"/>
      <c r="F34" s="616"/>
      <c r="G34" s="616"/>
      <c r="H34" s="616"/>
      <c r="I34" s="616"/>
      <c r="J34" s="616"/>
      <c r="K34" s="616"/>
      <c r="L34" s="616"/>
      <c r="M34" s="616"/>
      <c r="N34" s="616"/>
      <c r="O34" s="616"/>
      <c r="P34" s="616"/>
      <c r="Q34" s="616"/>
      <c r="R34" s="1104"/>
      <c r="S34" s="1104"/>
      <c r="T34" s="1104"/>
      <c r="U34" s="1104"/>
      <c r="V34" s="1104"/>
      <c r="W34" s="1104"/>
      <c r="X34" s="1104">
        <v>75000</v>
      </c>
      <c r="Y34" s="1104">
        <v>60000</v>
      </c>
      <c r="Z34" s="1104">
        <v>60000</v>
      </c>
      <c r="AA34" s="1104">
        <v>61000</v>
      </c>
      <c r="AB34" s="1104">
        <v>67000</v>
      </c>
      <c r="AC34" s="616"/>
      <c r="AD34" s="616"/>
      <c r="AE34" s="616"/>
      <c r="AF34" s="616"/>
    </row>
    <row r="35" spans="1:32">
      <c r="A35" s="34"/>
      <c r="B35" s="34"/>
      <c r="C35" s="34"/>
      <c r="D35" s="34"/>
      <c r="E35" s="34"/>
      <c r="F35" s="616"/>
      <c r="G35" s="616"/>
      <c r="H35" s="616"/>
      <c r="I35" s="616"/>
      <c r="J35" s="616"/>
      <c r="K35" s="616"/>
      <c r="L35" s="616"/>
      <c r="M35" s="616"/>
      <c r="N35" s="616"/>
      <c r="O35" s="616"/>
      <c r="P35" s="616"/>
      <c r="Q35" s="616"/>
      <c r="R35" s="616">
        <v>5791674</v>
      </c>
      <c r="S35" s="616">
        <v>6268968</v>
      </c>
      <c r="T35" s="616">
        <v>6427000</v>
      </c>
      <c r="U35" s="616">
        <v>6606000</v>
      </c>
      <c r="V35" s="616">
        <v>6679000</v>
      </c>
      <c r="W35" s="616">
        <v>6172000</v>
      </c>
      <c r="X35" s="616">
        <v>6274000</v>
      </c>
      <c r="Y35" s="616">
        <v>5912000</v>
      </c>
      <c r="Z35" s="616">
        <v>5954000</v>
      </c>
      <c r="AA35" s="616">
        <v>6035000</v>
      </c>
      <c r="AB35" s="616">
        <v>6184000</v>
      </c>
      <c r="AC35" s="616"/>
      <c r="AD35" s="616"/>
      <c r="AE35" s="616"/>
      <c r="AF35" s="616"/>
    </row>
    <row r="36" spans="1:32">
      <c r="A36" s="34"/>
      <c r="B36" s="34" t="s">
        <v>163</v>
      </c>
      <c r="C36" s="34"/>
      <c r="D36" s="34"/>
      <c r="E36" s="34"/>
      <c r="F36" s="616">
        <v>-13424</v>
      </c>
      <c r="G36" s="616">
        <v>-57731</v>
      </c>
      <c r="H36" s="616">
        <v>-118744</v>
      </c>
      <c r="I36" s="616">
        <v>-154202</v>
      </c>
      <c r="J36" s="616">
        <v>-8228</v>
      </c>
      <c r="K36" s="616">
        <v>-72988</v>
      </c>
      <c r="L36" s="616">
        <v>-148127</v>
      </c>
      <c r="M36" s="616">
        <v>0</v>
      </c>
      <c r="N36" s="616">
        <v>0</v>
      </c>
      <c r="O36" s="616">
        <v>-129256</v>
      </c>
      <c r="P36" s="616">
        <v>-260394</v>
      </c>
      <c r="Q36" s="616">
        <v>-2302</v>
      </c>
      <c r="R36" s="702">
        <v>-978055</v>
      </c>
      <c r="S36" s="702">
        <v>-1105369</v>
      </c>
      <c r="T36" s="702">
        <v>-1259000</v>
      </c>
      <c r="U36" s="702">
        <v>-1426000</v>
      </c>
      <c r="V36" s="702">
        <v>-1601000</v>
      </c>
      <c r="W36" s="702">
        <v>-1473000</v>
      </c>
      <c r="X36" s="702">
        <v>-1663000</v>
      </c>
      <c r="Y36" s="702">
        <v>-1659000</v>
      </c>
      <c r="Z36" s="702">
        <v>-1828000</v>
      </c>
      <c r="AA36" s="700">
        <v>-2009000</v>
      </c>
      <c r="AB36" s="700">
        <v>-2223000</v>
      </c>
      <c r="AC36" s="616"/>
      <c r="AD36" s="616"/>
      <c r="AE36" s="616"/>
      <c r="AF36" s="616"/>
    </row>
    <row r="37" spans="1:32">
      <c r="A37" s="34"/>
      <c r="B37" s="613" t="s">
        <v>164</v>
      </c>
      <c r="C37" s="34"/>
      <c r="D37" s="34"/>
      <c r="E37" s="34"/>
      <c r="F37" s="702" t="e">
        <v>#REF!</v>
      </c>
      <c r="G37" s="702" t="e">
        <v>#REF!</v>
      </c>
      <c r="H37" s="702" t="e">
        <v>#REF!</v>
      </c>
      <c r="I37" s="702" t="e">
        <v>#REF!</v>
      </c>
      <c r="J37" s="702" t="e">
        <v>#REF!</v>
      </c>
      <c r="K37" s="702" t="e">
        <v>#REF!</v>
      </c>
      <c r="L37" s="702" t="e">
        <v>#REF!</v>
      </c>
      <c r="M37" s="702" t="e">
        <v>#REF!</v>
      </c>
      <c r="N37" s="702" t="e">
        <v>#REF!</v>
      </c>
      <c r="O37" s="702" t="e">
        <v>#REF!</v>
      </c>
      <c r="P37" s="702" t="e">
        <v>#REF!</v>
      </c>
      <c r="Q37" s="702" t="e">
        <v>#REF!</v>
      </c>
      <c r="R37" s="616">
        <v>4813619</v>
      </c>
      <c r="S37" s="616">
        <v>5163599</v>
      </c>
      <c r="T37" s="616">
        <v>5168000</v>
      </c>
      <c r="U37" s="616">
        <v>5180000</v>
      </c>
      <c r="V37" s="616">
        <v>5078000</v>
      </c>
      <c r="W37" s="616">
        <v>4699000</v>
      </c>
      <c r="X37" s="616">
        <v>4611000</v>
      </c>
      <c r="Y37" s="616">
        <v>4253000</v>
      </c>
      <c r="Z37" s="616">
        <v>4126000</v>
      </c>
      <c r="AA37" s="616">
        <v>4026000</v>
      </c>
      <c r="AB37" s="616">
        <v>3961000</v>
      </c>
      <c r="AC37" s="616"/>
      <c r="AD37" s="616"/>
      <c r="AE37" s="616"/>
      <c r="AF37" s="616"/>
    </row>
    <row r="38" spans="1:32" ht="13.5" thickBot="1">
      <c r="A38" s="34"/>
      <c r="B38" s="613" t="s">
        <v>165</v>
      </c>
      <c r="C38" s="34"/>
      <c r="D38" s="1276" t="s">
        <v>1208</v>
      </c>
      <c r="E38" s="34"/>
      <c r="F38" s="725" t="e">
        <v>#REF!</v>
      </c>
      <c r="G38" s="725" t="e">
        <v>#REF!</v>
      </c>
      <c r="H38" s="725" t="e">
        <v>#REF!</v>
      </c>
      <c r="I38" s="725" t="e">
        <v>#REF!</v>
      </c>
      <c r="J38" s="725" t="e">
        <v>#REF!</v>
      </c>
      <c r="K38" s="725" t="e">
        <v>#REF!</v>
      </c>
      <c r="L38" s="725" t="e">
        <v>#REF!</v>
      </c>
      <c r="M38" s="725" t="e">
        <v>#REF!</v>
      </c>
      <c r="N38" s="725" t="e">
        <v>#REF!</v>
      </c>
      <c r="O38" s="725" t="e">
        <v>#REF!</v>
      </c>
      <c r="P38" s="725" t="e">
        <v>#REF!</v>
      </c>
      <c r="Q38" s="725" t="e">
        <v>#REF!</v>
      </c>
      <c r="R38" s="725">
        <v>5643490</v>
      </c>
      <c r="S38" s="725">
        <v>6112392</v>
      </c>
      <c r="T38" s="725">
        <v>6197000</v>
      </c>
      <c r="U38" s="725">
        <v>6186000</v>
      </c>
      <c r="V38" s="725">
        <v>6089000</v>
      </c>
      <c r="W38" s="725">
        <v>5652000</v>
      </c>
      <c r="X38" s="725">
        <v>5455000</v>
      </c>
      <c r="Y38" s="725">
        <v>5311000</v>
      </c>
      <c r="Z38" s="725">
        <v>4954000</v>
      </c>
      <c r="AA38" s="725">
        <v>4896000</v>
      </c>
      <c r="AB38" s="725">
        <v>5028000</v>
      </c>
      <c r="AC38" s="616"/>
      <c r="AD38" s="616"/>
      <c r="AE38" s="616"/>
      <c r="AF38" s="616"/>
    </row>
    <row r="39" spans="1:32" ht="13.5" thickTop="1">
      <c r="A39" s="34"/>
      <c r="B39" s="613"/>
      <c r="C39" s="34"/>
      <c r="D39" s="1276" t="s">
        <v>93</v>
      </c>
      <c r="E39" s="34"/>
      <c r="F39" s="616"/>
      <c r="G39" s="616"/>
      <c r="H39" s="616"/>
      <c r="I39" s="706"/>
      <c r="J39" s="706"/>
      <c r="K39" s="706"/>
      <c r="L39" s="616"/>
      <c r="M39" s="616"/>
      <c r="N39" s="616"/>
      <c r="O39" s="706"/>
      <c r="P39" s="616"/>
      <c r="Q39" s="616"/>
      <c r="R39" s="616">
        <v>0</v>
      </c>
      <c r="S39" s="616">
        <v>0</v>
      </c>
      <c r="T39" s="616">
        <v>0</v>
      </c>
      <c r="U39" s="616">
        <v>0</v>
      </c>
      <c r="V39" s="616">
        <v>0</v>
      </c>
      <c r="W39" s="616">
        <v>0</v>
      </c>
      <c r="X39" s="616">
        <v>0</v>
      </c>
      <c r="Y39" s="616">
        <v>0</v>
      </c>
      <c r="Z39" s="616">
        <v>0</v>
      </c>
      <c r="AA39" s="616">
        <v>0</v>
      </c>
      <c r="AB39" s="616">
        <v>0</v>
      </c>
      <c r="AC39" s="616"/>
      <c r="AD39" s="616"/>
      <c r="AE39" s="616"/>
      <c r="AF39" s="616"/>
    </row>
    <row r="40" spans="1:32" ht="18">
      <c r="A40" s="1180"/>
      <c r="B40" s="1180"/>
      <c r="C40" s="1180"/>
      <c r="D40" s="1180"/>
      <c r="E40" s="1518"/>
      <c r="F40" s="1518"/>
      <c r="G40" s="1518"/>
      <c r="H40" s="1518"/>
      <c r="I40" s="1511"/>
      <c r="J40" s="1511"/>
      <c r="K40" s="1511"/>
      <c r="L40" s="1510"/>
      <c r="M40" s="1510"/>
      <c r="N40" s="1510"/>
      <c r="O40" s="751"/>
      <c r="P40" s="752"/>
      <c r="Q40" s="684"/>
      <c r="R40" s="684"/>
      <c r="S40" s="684"/>
      <c r="T40" s="684"/>
      <c r="U40" s="684"/>
      <c r="V40" s="684"/>
      <c r="W40" s="1552" t="s">
        <v>166</v>
      </c>
      <c r="X40" s="1553"/>
      <c r="Y40" s="1553"/>
      <c r="Z40" s="1553"/>
      <c r="AA40" s="1554"/>
      <c r="AB40" s="1083">
        <v>3.2</v>
      </c>
      <c r="AC40" s="616"/>
      <c r="AD40" s="616"/>
      <c r="AE40" s="616"/>
      <c r="AF40" s="616"/>
    </row>
    <row r="41" spans="1:32" ht="15.75">
      <c r="A41" s="972"/>
      <c r="B41" s="972"/>
      <c r="C41" s="972"/>
      <c r="D41" s="973"/>
      <c r="E41" s="1013"/>
      <c r="F41" s="34">
        <v>0</v>
      </c>
      <c r="G41" s="34">
        <v>1</v>
      </c>
      <c r="H41" s="34">
        <v>2</v>
      </c>
      <c r="I41" s="34">
        <v>3</v>
      </c>
      <c r="J41" s="34">
        <v>4</v>
      </c>
      <c r="K41" s="34">
        <v>5</v>
      </c>
      <c r="L41" s="34">
        <v>6</v>
      </c>
      <c r="M41" s="34">
        <v>7</v>
      </c>
      <c r="N41" s="1276">
        <v>8</v>
      </c>
      <c r="O41" s="34">
        <v>9</v>
      </c>
      <c r="P41" s="34">
        <v>10</v>
      </c>
      <c r="Q41" s="34">
        <v>11</v>
      </c>
      <c r="R41" s="34">
        <v>0</v>
      </c>
      <c r="S41" s="34">
        <v>1</v>
      </c>
      <c r="T41" s="34">
        <v>2</v>
      </c>
      <c r="U41" s="34">
        <v>3</v>
      </c>
      <c r="V41" s="34">
        <v>4</v>
      </c>
      <c r="W41" s="34">
        <v>5</v>
      </c>
      <c r="X41" s="34">
        <v>6</v>
      </c>
      <c r="Y41" s="34">
        <v>7</v>
      </c>
      <c r="Z41" s="34">
        <v>8</v>
      </c>
      <c r="AA41" s="34">
        <v>9</v>
      </c>
      <c r="AB41" s="616">
        <v>10</v>
      </c>
      <c r="AC41" s="616"/>
      <c r="AD41" s="616"/>
      <c r="AE41" s="616"/>
      <c r="AF41" s="616"/>
    </row>
    <row r="42" spans="1:32">
      <c r="E42" s="999"/>
      <c r="F42" s="740">
        <v>1999</v>
      </c>
      <c r="G42" s="740">
        <v>2000</v>
      </c>
      <c r="H42" s="740">
        <v>2001</v>
      </c>
      <c r="I42" s="740">
        <v>2002</v>
      </c>
      <c r="J42" s="740">
        <v>2003</v>
      </c>
      <c r="K42" s="740">
        <v>2004</v>
      </c>
      <c r="L42" s="740">
        <v>2005</v>
      </c>
      <c r="M42" s="740">
        <v>2006</v>
      </c>
      <c r="N42" s="740">
        <v>2007</v>
      </c>
      <c r="O42" s="740">
        <v>2008</v>
      </c>
      <c r="P42" s="740">
        <v>2009</v>
      </c>
      <c r="Q42" s="740">
        <v>2010</v>
      </c>
      <c r="R42" s="980">
        <v>2011</v>
      </c>
      <c r="S42" s="980">
        <v>2012</v>
      </c>
      <c r="T42" s="980">
        <v>2013</v>
      </c>
      <c r="U42" s="980">
        <v>2014</v>
      </c>
      <c r="V42" s="980">
        <v>2015</v>
      </c>
      <c r="W42" s="980">
        <v>2016</v>
      </c>
      <c r="X42" s="980">
        <v>2017</v>
      </c>
      <c r="Y42" s="980">
        <v>2018</v>
      </c>
      <c r="Z42" s="980">
        <v>2019</v>
      </c>
      <c r="AA42" s="980">
        <v>2020</v>
      </c>
      <c r="AB42" s="980">
        <v>2021</v>
      </c>
      <c r="AC42" s="616"/>
      <c r="AD42" s="616"/>
      <c r="AE42" s="616"/>
      <c r="AF42" s="616"/>
    </row>
    <row r="43" spans="1:32">
      <c r="A43" s="982" t="s">
        <v>20</v>
      </c>
      <c r="B43" s="758"/>
      <c r="C43" s="749"/>
      <c r="D43" s="749"/>
      <c r="E43" s="999"/>
      <c r="F43" s="714"/>
      <c r="G43" s="714"/>
      <c r="H43" s="714"/>
      <c r="I43" s="714"/>
      <c r="J43" s="714"/>
      <c r="K43" s="714"/>
      <c r="L43" s="714"/>
      <c r="M43" s="714"/>
      <c r="N43" s="714"/>
      <c r="O43" s="714"/>
      <c r="P43" s="714"/>
      <c r="Q43" s="714"/>
      <c r="R43" s="1140"/>
      <c r="S43" s="714"/>
      <c r="T43" s="714"/>
      <c r="U43" s="714"/>
      <c r="V43" s="714"/>
      <c r="W43" s="714"/>
      <c r="X43" s="631"/>
      <c r="Y43" s="714"/>
      <c r="Z43" s="714"/>
      <c r="AA43" s="714"/>
      <c r="AB43" s="616"/>
      <c r="AC43" s="616"/>
      <c r="AD43" s="616"/>
      <c r="AE43" s="616"/>
      <c r="AF43" s="616"/>
    </row>
    <row r="44" spans="1:32">
      <c r="A44" s="34"/>
      <c r="B44" s="34" t="s">
        <v>167</v>
      </c>
      <c r="C44" s="34"/>
      <c r="D44" s="34"/>
      <c r="E44" s="34"/>
      <c r="F44" s="616">
        <v>41728</v>
      </c>
      <c r="G44" s="616">
        <v>64139</v>
      </c>
      <c r="H44" s="616">
        <v>102775</v>
      </c>
      <c r="I44" s="616">
        <v>7394</v>
      </c>
      <c r="J44" s="616">
        <v>22807</v>
      </c>
      <c r="K44" s="616">
        <v>38973</v>
      </c>
      <c r="L44" s="616">
        <v>37722</v>
      </c>
      <c r="M44" s="616">
        <v>9347</v>
      </c>
      <c r="N44" s="616">
        <v>193707</v>
      </c>
      <c r="O44" s="616">
        <v>6228</v>
      </c>
      <c r="P44" s="755">
        <v>6218</v>
      </c>
      <c r="Q44" s="616">
        <v>11065</v>
      </c>
      <c r="R44" s="616">
        <v>354693</v>
      </c>
      <c r="S44" s="616">
        <v>409295</v>
      </c>
      <c r="T44" s="616">
        <v>319000</v>
      </c>
      <c r="U44" s="755">
        <v>277000</v>
      </c>
      <c r="V44" s="755">
        <v>214000</v>
      </c>
      <c r="W44" s="755">
        <v>223000</v>
      </c>
      <c r="X44" s="755">
        <v>202000</v>
      </c>
      <c r="Y44" s="755">
        <v>172000</v>
      </c>
      <c r="Z44" s="755">
        <v>185000</v>
      </c>
      <c r="AA44" s="755">
        <v>190000</v>
      </c>
      <c r="AB44" s="616">
        <v>305000</v>
      </c>
      <c r="AC44" s="616"/>
      <c r="AD44" s="616"/>
      <c r="AE44" s="616"/>
      <c r="AF44" s="616"/>
    </row>
    <row r="45" spans="1:32">
      <c r="A45" s="34"/>
      <c r="B45" s="34" t="s">
        <v>176</v>
      </c>
      <c r="C45" s="34"/>
      <c r="D45" s="34"/>
      <c r="E45" s="34"/>
      <c r="F45" s="616">
        <v>489</v>
      </c>
      <c r="G45" s="616">
        <v>-7608</v>
      </c>
      <c r="H45" s="616">
        <v>0</v>
      </c>
      <c r="I45" s="616">
        <v>0</v>
      </c>
      <c r="J45" s="616">
        <v>0</v>
      </c>
      <c r="K45" s="616">
        <v>2545</v>
      </c>
      <c r="L45" s="616">
        <v>2257</v>
      </c>
      <c r="M45" s="616">
        <v>2085</v>
      </c>
      <c r="N45" s="616">
        <v>0</v>
      </c>
      <c r="O45" s="616">
        <v>0</v>
      </c>
      <c r="P45" s="616">
        <v>28041</v>
      </c>
      <c r="Q45" s="616">
        <v>31633</v>
      </c>
      <c r="R45" s="616">
        <v>0</v>
      </c>
      <c r="S45" s="616">
        <v>27831</v>
      </c>
      <c r="T45" s="616">
        <v>15000</v>
      </c>
      <c r="U45" s="756">
        <v>19000</v>
      </c>
      <c r="V45" s="755"/>
      <c r="W45" s="755">
        <v>0</v>
      </c>
      <c r="X45" s="755">
        <v>4000</v>
      </c>
      <c r="Y45" s="755">
        <v>7000</v>
      </c>
      <c r="Z45" s="755">
        <v>34000</v>
      </c>
      <c r="AA45" s="755">
        <v>28000</v>
      </c>
      <c r="AB45" s="616">
        <v>39000</v>
      </c>
      <c r="AC45" s="616"/>
      <c r="AD45" s="616"/>
      <c r="AE45" s="616"/>
      <c r="AF45" s="616"/>
    </row>
    <row r="46" spans="1:32">
      <c r="A46" s="34"/>
      <c r="B46" s="34" t="s">
        <v>177</v>
      </c>
      <c r="C46" s="34"/>
      <c r="D46" s="34"/>
      <c r="E46" s="34"/>
      <c r="F46" s="616">
        <v>0</v>
      </c>
      <c r="G46" s="616">
        <v>0</v>
      </c>
      <c r="H46" s="616">
        <v>0</v>
      </c>
      <c r="I46" s="616">
        <v>0</v>
      </c>
      <c r="J46" s="616">
        <v>0</v>
      </c>
      <c r="K46" s="616">
        <v>0</v>
      </c>
      <c r="L46" s="616">
        <v>0</v>
      </c>
      <c r="M46" s="616">
        <v>0</v>
      </c>
      <c r="N46" s="616">
        <v>0</v>
      </c>
      <c r="O46" s="616">
        <v>138</v>
      </c>
      <c r="P46" s="616">
        <v>194</v>
      </c>
      <c r="Q46" s="616">
        <v>15</v>
      </c>
      <c r="R46" s="616"/>
      <c r="S46" s="616"/>
      <c r="T46" s="616"/>
      <c r="U46" s="756"/>
      <c r="V46" s="755"/>
      <c r="W46" s="755"/>
      <c r="X46" s="755"/>
      <c r="Y46" s="755">
        <v>42000</v>
      </c>
      <c r="Z46" s="755"/>
      <c r="AA46" s="755"/>
      <c r="AB46" s="616"/>
      <c r="AC46" s="616"/>
      <c r="AD46" s="616"/>
      <c r="AE46" s="616"/>
      <c r="AF46" s="616"/>
    </row>
    <row r="47" spans="1:32">
      <c r="A47" s="34"/>
      <c r="B47" s="34" t="s">
        <v>179</v>
      </c>
      <c r="C47" s="34"/>
      <c r="D47" s="34"/>
      <c r="E47" s="34"/>
      <c r="F47" s="702">
        <v>49500</v>
      </c>
      <c r="G47" s="702">
        <v>23198</v>
      </c>
      <c r="H47" s="702">
        <v>378371</v>
      </c>
      <c r="I47" s="702">
        <v>184731</v>
      </c>
      <c r="J47" s="702">
        <v>723098</v>
      </c>
      <c r="K47" s="702">
        <v>158310</v>
      </c>
      <c r="L47" s="702">
        <v>370141</v>
      </c>
      <c r="M47" s="702">
        <v>0</v>
      </c>
      <c r="N47" s="702">
        <v>0</v>
      </c>
      <c r="O47" s="702">
        <v>149808</v>
      </c>
      <c r="P47" s="702">
        <v>123166</v>
      </c>
      <c r="Q47" s="702">
        <v>284417</v>
      </c>
      <c r="R47" s="702">
        <v>3012</v>
      </c>
      <c r="S47" s="702">
        <v>101907</v>
      </c>
      <c r="T47" s="702">
        <v>671000</v>
      </c>
      <c r="U47" s="759">
        <v>237000</v>
      </c>
      <c r="V47" s="759">
        <v>531000</v>
      </c>
      <c r="W47" s="759">
        <v>305000</v>
      </c>
      <c r="X47" s="759">
        <v>391000</v>
      </c>
      <c r="Y47" s="759">
        <v>513000</v>
      </c>
      <c r="Z47" s="759">
        <v>127000</v>
      </c>
      <c r="AA47" s="759">
        <v>220000</v>
      </c>
      <c r="AB47" s="702">
        <v>163000</v>
      </c>
      <c r="AC47" s="616"/>
      <c r="AD47" s="616"/>
      <c r="AE47" s="616"/>
      <c r="AF47" s="616"/>
    </row>
    <row r="48" spans="1:32">
      <c r="A48" s="34"/>
      <c r="B48" s="34"/>
      <c r="C48" s="34"/>
      <c r="D48" s="34"/>
      <c r="E48" s="34"/>
      <c r="F48" s="616">
        <v>91717</v>
      </c>
      <c r="G48" s="616">
        <v>79729</v>
      </c>
      <c r="H48" s="616">
        <v>481146</v>
      </c>
      <c r="I48" s="616">
        <v>192125</v>
      </c>
      <c r="J48" s="616">
        <v>745905</v>
      </c>
      <c r="K48" s="616">
        <v>199828</v>
      </c>
      <c r="L48" s="616">
        <v>410120</v>
      </c>
      <c r="M48" s="616">
        <v>11432</v>
      </c>
      <c r="N48" s="616">
        <v>193707</v>
      </c>
      <c r="O48" s="616">
        <v>156174</v>
      </c>
      <c r="P48" s="616">
        <v>157619</v>
      </c>
      <c r="Q48" s="616">
        <v>327130</v>
      </c>
      <c r="R48" s="755">
        <v>357705</v>
      </c>
      <c r="S48" s="755">
        <v>539033</v>
      </c>
      <c r="T48" s="755">
        <v>1005000</v>
      </c>
      <c r="U48" s="755">
        <v>533000</v>
      </c>
      <c r="V48" s="755">
        <v>745000</v>
      </c>
      <c r="W48" s="755">
        <v>528000</v>
      </c>
      <c r="X48" s="755">
        <v>597000</v>
      </c>
      <c r="Y48" s="755">
        <v>734000</v>
      </c>
      <c r="Z48" s="755">
        <v>346000</v>
      </c>
      <c r="AA48" s="755">
        <v>438000</v>
      </c>
      <c r="AB48" s="755">
        <v>507000</v>
      </c>
      <c r="AC48" s="616"/>
      <c r="AD48" s="616"/>
      <c r="AE48" s="616"/>
      <c r="AF48" s="616"/>
    </row>
    <row r="49" spans="1:32">
      <c r="A49" s="34"/>
      <c r="B49" s="34"/>
      <c r="C49" s="34"/>
      <c r="D49" s="868"/>
      <c r="E49" s="34"/>
      <c r="F49" s="616"/>
      <c r="G49" s="616"/>
      <c r="H49" s="616"/>
      <c r="I49" s="616"/>
      <c r="J49" s="616"/>
      <c r="K49" s="616"/>
      <c r="L49" s="616"/>
      <c r="M49" s="616"/>
      <c r="N49" s="616"/>
      <c r="O49" s="616"/>
      <c r="P49" s="616"/>
      <c r="Q49" s="616"/>
      <c r="R49" s="616"/>
      <c r="S49" s="616"/>
      <c r="T49" s="616"/>
      <c r="U49" s="616"/>
      <c r="V49" s="616"/>
      <c r="W49" s="616"/>
      <c r="X49" s="616"/>
      <c r="Y49" s="616"/>
      <c r="Z49" s="755"/>
      <c r="AA49" s="755"/>
      <c r="AB49" s="616"/>
      <c r="AC49" s="616"/>
      <c r="AD49" s="616"/>
      <c r="AE49" s="616"/>
      <c r="AF49" s="616"/>
    </row>
    <row r="50" spans="1:32">
      <c r="A50" s="34"/>
      <c r="B50" s="34" t="s">
        <v>255</v>
      </c>
      <c r="C50" s="34"/>
      <c r="D50" s="34"/>
      <c r="E50" s="34"/>
      <c r="F50" s="616">
        <v>5014</v>
      </c>
      <c r="G50" s="616">
        <v>28728</v>
      </c>
      <c r="H50" s="616">
        <v>66401</v>
      </c>
      <c r="I50" s="616">
        <v>92031</v>
      </c>
      <c r="J50" s="616">
        <v>138871</v>
      </c>
      <c r="K50" s="616">
        <v>145260</v>
      </c>
      <c r="L50" s="616">
        <v>179168</v>
      </c>
      <c r="M50" s="616">
        <v>970959</v>
      </c>
      <c r="N50" s="616">
        <v>1331772</v>
      </c>
      <c r="O50" s="616">
        <v>1329478</v>
      </c>
      <c r="P50" s="616">
        <v>1301231</v>
      </c>
      <c r="Q50" s="616">
        <v>1559507</v>
      </c>
      <c r="R50" s="616">
        <v>680204</v>
      </c>
      <c r="S50" s="616">
        <v>700479</v>
      </c>
      <c r="T50" s="616">
        <v>735000</v>
      </c>
      <c r="U50" s="755">
        <v>768000</v>
      </c>
      <c r="V50" s="755">
        <v>792000</v>
      </c>
      <c r="W50" s="755">
        <v>736000</v>
      </c>
      <c r="X50" s="755">
        <v>749000</v>
      </c>
      <c r="Y50" s="755">
        <v>751000</v>
      </c>
      <c r="Z50" s="755">
        <v>676000</v>
      </c>
      <c r="AA50" s="755">
        <v>653000</v>
      </c>
      <c r="AB50" s="616">
        <v>635000</v>
      </c>
      <c r="AC50" s="616"/>
      <c r="AD50" s="616"/>
      <c r="AE50" s="616"/>
      <c r="AF50" s="616"/>
    </row>
    <row r="51" spans="1:32">
      <c r="A51" s="34"/>
      <c r="B51" s="34" t="s">
        <v>1215</v>
      </c>
      <c r="C51" s="34"/>
      <c r="D51" s="34"/>
      <c r="E51" s="34"/>
      <c r="F51" s="616"/>
      <c r="G51" s="616"/>
      <c r="H51" s="616"/>
      <c r="I51" s="616"/>
      <c r="J51" s="616"/>
      <c r="K51" s="616"/>
      <c r="L51" s="616"/>
      <c r="M51" s="616"/>
      <c r="N51" s="616"/>
      <c r="O51" s="616"/>
      <c r="P51" s="616"/>
      <c r="Q51" s="616"/>
      <c r="R51" s="616">
        <v>56503</v>
      </c>
      <c r="S51" s="616">
        <v>60016</v>
      </c>
      <c r="T51" s="616">
        <v>50000</v>
      </c>
      <c r="U51" s="755">
        <v>53000</v>
      </c>
      <c r="V51" s="755">
        <v>57000</v>
      </c>
      <c r="W51" s="755">
        <v>51000</v>
      </c>
      <c r="X51" s="755">
        <v>56000</v>
      </c>
      <c r="Y51" s="755">
        <v>50000</v>
      </c>
      <c r="Z51" s="755">
        <v>55000</v>
      </c>
      <c r="AA51" s="755">
        <v>59000</v>
      </c>
      <c r="AB51" s="616">
        <v>50000</v>
      </c>
      <c r="AC51" s="616"/>
      <c r="AD51" s="616"/>
      <c r="AE51" s="616"/>
      <c r="AF51" s="616"/>
    </row>
    <row r="52" spans="1:32">
      <c r="A52" s="34"/>
      <c r="B52" s="1141" t="s">
        <v>1216</v>
      </c>
      <c r="C52" s="34"/>
      <c r="D52" s="34"/>
      <c r="E52" s="34"/>
      <c r="F52" s="616"/>
      <c r="G52" s="616"/>
      <c r="H52" s="616"/>
      <c r="I52" s="616"/>
      <c r="J52" s="616"/>
      <c r="K52" s="616"/>
      <c r="L52" s="616"/>
      <c r="M52" s="616"/>
      <c r="N52" s="616"/>
      <c r="O52" s="616"/>
      <c r="P52" s="616"/>
      <c r="Q52" s="616"/>
      <c r="R52" s="616">
        <v>4382</v>
      </c>
      <c r="S52" s="616">
        <v>8356</v>
      </c>
      <c r="T52" s="616">
        <v>14000</v>
      </c>
      <c r="U52" s="755">
        <v>2000</v>
      </c>
      <c r="V52" s="755">
        <v>2000</v>
      </c>
      <c r="W52" s="755">
        <v>3000</v>
      </c>
      <c r="X52" s="755">
        <v>8000</v>
      </c>
      <c r="Y52" s="755">
        <v>9000</v>
      </c>
      <c r="Z52" s="755">
        <v>4000</v>
      </c>
      <c r="AA52" s="755">
        <v>9000</v>
      </c>
      <c r="AB52" s="616">
        <v>24000</v>
      </c>
      <c r="AC52" s="616"/>
      <c r="AD52" s="616"/>
      <c r="AE52" s="616"/>
      <c r="AF52" s="616"/>
    </row>
    <row r="53" spans="1:32">
      <c r="A53" s="34"/>
      <c r="B53" s="739"/>
      <c r="C53" s="34"/>
      <c r="D53" s="34"/>
      <c r="E53" s="34"/>
      <c r="F53" s="616"/>
      <c r="G53" s="616"/>
      <c r="H53" s="616"/>
      <c r="I53" s="616"/>
      <c r="J53" s="616"/>
      <c r="K53" s="616"/>
      <c r="L53" s="616"/>
      <c r="M53" s="616"/>
      <c r="N53" s="616"/>
      <c r="O53" s="616"/>
      <c r="P53" s="616"/>
      <c r="Q53" s="616"/>
      <c r="R53" s="616"/>
      <c r="S53" s="616"/>
      <c r="T53" s="616"/>
      <c r="U53" s="755"/>
      <c r="V53" s="755"/>
      <c r="W53" s="755"/>
      <c r="X53" s="755"/>
      <c r="Y53" s="755"/>
      <c r="Z53" s="755"/>
      <c r="AA53" s="755"/>
      <c r="AB53" s="616"/>
      <c r="AC53" s="616"/>
      <c r="AD53" s="616"/>
      <c r="AE53" s="616"/>
      <c r="AF53" s="616"/>
    </row>
    <row r="54" spans="1:32">
      <c r="A54" s="34"/>
      <c r="B54" s="1120" t="s">
        <v>155</v>
      </c>
      <c r="C54" s="1111"/>
      <c r="D54" s="1111"/>
      <c r="E54" s="1111"/>
      <c r="F54" s="616">
        <v>0</v>
      </c>
      <c r="G54" s="616">
        <v>0</v>
      </c>
      <c r="H54" s="616">
        <v>0</v>
      </c>
      <c r="I54" s="616">
        <v>0</v>
      </c>
      <c r="J54" s="616">
        <v>0</v>
      </c>
      <c r="K54" s="616">
        <v>0</v>
      </c>
      <c r="L54" s="616">
        <v>0</v>
      </c>
      <c r="M54" s="616">
        <v>21004</v>
      </c>
      <c r="N54" s="616">
        <v>124669</v>
      </c>
      <c r="O54" s="616">
        <v>56448</v>
      </c>
      <c r="P54" s="616">
        <v>52054</v>
      </c>
      <c r="Q54" s="616">
        <v>84752</v>
      </c>
      <c r="R54" s="616">
        <v>226491</v>
      </c>
      <c r="S54" s="616">
        <v>184346</v>
      </c>
      <c r="T54" s="616">
        <v>147000</v>
      </c>
      <c r="U54" s="616">
        <v>82000</v>
      </c>
      <c r="V54" s="616">
        <v>81000</v>
      </c>
      <c r="W54" s="616">
        <v>106000</v>
      </c>
      <c r="X54" s="616">
        <v>102000</v>
      </c>
      <c r="Y54" s="616">
        <v>61000</v>
      </c>
      <c r="Z54" s="616">
        <v>113000</v>
      </c>
      <c r="AA54" s="616">
        <v>127000</v>
      </c>
      <c r="AB54" s="616">
        <v>176000</v>
      </c>
      <c r="AC54" s="616"/>
      <c r="AD54" s="616"/>
      <c r="AE54" s="616"/>
      <c r="AF54" s="616"/>
    </row>
    <row r="55" spans="1:32">
      <c r="A55" s="34"/>
      <c r="B55" s="34" t="s">
        <v>1159</v>
      </c>
      <c r="C55" s="34"/>
      <c r="D55" s="34"/>
      <c r="E55" s="34"/>
      <c r="F55" s="616">
        <v>0</v>
      </c>
      <c r="G55" s="616">
        <v>0</v>
      </c>
      <c r="H55" s="616">
        <v>0</v>
      </c>
      <c r="I55" s="616">
        <v>0</v>
      </c>
      <c r="J55" s="616">
        <v>0</v>
      </c>
      <c r="K55" s="616">
        <v>0</v>
      </c>
      <c r="L55" s="616">
        <v>0</v>
      </c>
      <c r="M55" s="616">
        <v>0</v>
      </c>
      <c r="N55" s="616">
        <v>0</v>
      </c>
      <c r="O55" s="616">
        <v>0</v>
      </c>
      <c r="P55" s="616">
        <v>0</v>
      </c>
      <c r="Q55" s="616">
        <v>52954</v>
      </c>
      <c r="R55" s="616">
        <v>494</v>
      </c>
      <c r="S55" s="616"/>
      <c r="T55" s="616">
        <v>10000</v>
      </c>
      <c r="U55" s="755">
        <v>109000</v>
      </c>
      <c r="V55" s="755">
        <v>22000</v>
      </c>
      <c r="W55" s="755">
        <v>14000</v>
      </c>
      <c r="X55" s="755">
        <v>7000</v>
      </c>
      <c r="Y55" s="755">
        <v>7000</v>
      </c>
      <c r="Z55" s="755">
        <v>9000</v>
      </c>
      <c r="AA55" s="755">
        <v>11000</v>
      </c>
      <c r="AB55" s="616">
        <v>16000</v>
      </c>
      <c r="AC55" s="616"/>
      <c r="AD55" s="616"/>
      <c r="AE55" s="616"/>
      <c r="AF55" s="616"/>
    </row>
    <row r="56" spans="1:32">
      <c r="A56" s="34"/>
      <c r="B56" s="34" t="s">
        <v>182</v>
      </c>
      <c r="C56" s="34"/>
      <c r="D56" s="34"/>
      <c r="E56" s="34"/>
      <c r="F56" s="702">
        <v>477911</v>
      </c>
      <c r="G56" s="702">
        <v>464554</v>
      </c>
      <c r="H56" s="702">
        <v>180444</v>
      </c>
      <c r="I56" s="702">
        <v>591498</v>
      </c>
      <c r="J56" s="702">
        <v>653178</v>
      </c>
      <c r="K56" s="702">
        <v>1176566</v>
      </c>
      <c r="L56" s="702">
        <v>1021825</v>
      </c>
      <c r="M56" s="736">
        <v>760194</v>
      </c>
      <c r="N56" s="702">
        <v>629707</v>
      </c>
      <c r="O56" s="702">
        <v>793226</v>
      </c>
      <c r="P56" s="702">
        <v>1128695</v>
      </c>
      <c r="Q56" s="702">
        <v>1323058</v>
      </c>
      <c r="R56" s="702">
        <v>1082110</v>
      </c>
      <c r="S56" s="702">
        <v>1202026</v>
      </c>
      <c r="T56" s="702">
        <v>699000</v>
      </c>
      <c r="U56" s="759">
        <v>1057000</v>
      </c>
      <c r="V56" s="759">
        <v>1219000</v>
      </c>
      <c r="W56" s="759">
        <v>1391000</v>
      </c>
      <c r="X56" s="759">
        <v>1158000</v>
      </c>
      <c r="Y56" s="759">
        <v>972000</v>
      </c>
      <c r="Z56" s="759">
        <v>969000</v>
      </c>
      <c r="AA56" s="759">
        <v>978000</v>
      </c>
      <c r="AB56" s="702">
        <v>693000</v>
      </c>
      <c r="AC56" s="616"/>
      <c r="AD56" s="616"/>
      <c r="AE56" s="616"/>
      <c r="AF56" s="616"/>
    </row>
    <row r="57" spans="1:32">
      <c r="A57" s="34"/>
      <c r="B57" s="34"/>
      <c r="C57" s="34"/>
      <c r="D57" s="34"/>
      <c r="E57" s="34"/>
      <c r="F57" s="616">
        <v>482925</v>
      </c>
      <c r="G57" s="616">
        <v>493282</v>
      </c>
      <c r="H57" s="616">
        <v>246845</v>
      </c>
      <c r="I57" s="616">
        <v>683529</v>
      </c>
      <c r="J57" s="616">
        <v>792049</v>
      </c>
      <c r="K57" s="616">
        <v>1321826</v>
      </c>
      <c r="L57" s="616">
        <v>1200993</v>
      </c>
      <c r="M57" s="616">
        <v>1752157</v>
      </c>
      <c r="N57" s="616">
        <v>2086148</v>
      </c>
      <c r="O57" s="616">
        <v>2179152</v>
      </c>
      <c r="P57" s="616">
        <v>2481980</v>
      </c>
      <c r="Q57" s="616">
        <v>3020271</v>
      </c>
      <c r="R57" s="755">
        <v>2050184</v>
      </c>
      <c r="S57" s="755">
        <v>2155223</v>
      </c>
      <c r="T57" s="755">
        <v>1655000</v>
      </c>
      <c r="U57" s="755">
        <v>2071000</v>
      </c>
      <c r="V57" s="755">
        <v>2173000</v>
      </c>
      <c r="W57" s="755">
        <v>2301000</v>
      </c>
      <c r="X57" s="755">
        <v>2080000</v>
      </c>
      <c r="Y57" s="755">
        <v>1850000</v>
      </c>
      <c r="Z57" s="755">
        <v>1826000</v>
      </c>
      <c r="AA57" s="755">
        <v>1837000</v>
      </c>
      <c r="AB57" s="755">
        <v>1594000</v>
      </c>
      <c r="AC57" s="616"/>
      <c r="AD57" s="616"/>
      <c r="AE57" s="616"/>
      <c r="AF57" s="616"/>
    </row>
    <row r="58" spans="1:32">
      <c r="A58" s="34"/>
      <c r="B58" s="34"/>
      <c r="C58" s="34"/>
      <c r="D58" s="34"/>
      <c r="E58" s="34"/>
      <c r="F58" s="616"/>
      <c r="G58" s="616"/>
      <c r="H58" s="616"/>
      <c r="I58" s="616"/>
      <c r="J58" s="616"/>
      <c r="K58" s="616"/>
      <c r="L58" s="616"/>
      <c r="M58" s="616"/>
      <c r="N58" s="616"/>
      <c r="O58" s="616"/>
      <c r="P58" s="616"/>
      <c r="Q58" s="616"/>
      <c r="R58" s="616"/>
      <c r="S58" s="616"/>
      <c r="T58" s="616"/>
      <c r="U58" s="616"/>
      <c r="V58" s="616"/>
      <c r="W58" s="616"/>
      <c r="X58" s="616"/>
      <c r="Y58" s="616"/>
      <c r="Z58" s="755"/>
      <c r="AA58" s="755"/>
      <c r="AB58" s="616"/>
      <c r="AC58" s="616"/>
      <c r="AD58" s="616"/>
      <c r="AE58" s="616"/>
      <c r="AF58" s="616"/>
    </row>
    <row r="59" spans="1:32">
      <c r="A59" s="34"/>
      <c r="B59" s="34" t="s">
        <v>183</v>
      </c>
      <c r="C59" s="34"/>
      <c r="D59" s="34"/>
      <c r="E59" s="34"/>
      <c r="F59" s="616">
        <v>1600000</v>
      </c>
      <c r="G59" s="616">
        <v>1600000</v>
      </c>
      <c r="H59" s="616">
        <v>1600000</v>
      </c>
      <c r="I59" s="616">
        <v>1600000</v>
      </c>
      <c r="J59" s="616">
        <v>1600000</v>
      </c>
      <c r="K59" s="616">
        <v>1600000</v>
      </c>
      <c r="L59" s="616">
        <v>1600000</v>
      </c>
      <c r="M59" s="616">
        <v>1600000</v>
      </c>
      <c r="N59" s="616">
        <v>1600000</v>
      </c>
      <c r="O59" s="616">
        <v>1600000</v>
      </c>
      <c r="P59" s="616">
        <v>1600000</v>
      </c>
      <c r="Q59" s="616">
        <v>1600000</v>
      </c>
      <c r="R59" s="616">
        <v>1412860</v>
      </c>
      <c r="S59" s="616">
        <v>1534289</v>
      </c>
      <c r="T59" s="616">
        <v>1605000</v>
      </c>
      <c r="U59" s="616">
        <v>1605000</v>
      </c>
      <c r="V59" s="616">
        <v>1605000</v>
      </c>
      <c r="W59" s="616">
        <v>1515000</v>
      </c>
      <c r="X59" s="616">
        <v>1515000</v>
      </c>
      <c r="Y59" s="616">
        <v>1520000</v>
      </c>
      <c r="Z59" s="755">
        <v>1523000</v>
      </c>
      <c r="AA59" s="755">
        <v>1528000</v>
      </c>
      <c r="AB59" s="755">
        <v>1922000</v>
      </c>
      <c r="AC59" s="616"/>
      <c r="AD59" s="616"/>
      <c r="AE59" s="616"/>
      <c r="AF59" s="616"/>
    </row>
    <row r="60" spans="1:32">
      <c r="A60" s="34"/>
      <c r="B60" s="34" t="s">
        <v>1160</v>
      </c>
      <c r="C60" s="34"/>
      <c r="D60" s="34"/>
      <c r="E60" s="34"/>
      <c r="F60" s="616">
        <v>0</v>
      </c>
      <c r="G60" s="616">
        <v>0</v>
      </c>
      <c r="H60" s="616">
        <v>0</v>
      </c>
      <c r="I60" s="616">
        <v>0</v>
      </c>
      <c r="J60" s="616">
        <v>0</v>
      </c>
      <c r="K60" s="616">
        <v>0</v>
      </c>
      <c r="L60" s="616">
        <v>0</v>
      </c>
      <c r="M60" s="616">
        <v>0</v>
      </c>
      <c r="N60" s="616">
        <v>0</v>
      </c>
      <c r="O60" s="616">
        <v>0</v>
      </c>
      <c r="P60" s="616">
        <v>0</v>
      </c>
      <c r="Q60" s="616">
        <v>0</v>
      </c>
      <c r="R60" s="616">
        <v>5364</v>
      </c>
      <c r="S60" s="616"/>
      <c r="T60" s="616">
        <v>11000</v>
      </c>
      <c r="U60" s="616">
        <v>14000</v>
      </c>
      <c r="V60" s="616">
        <v>15000</v>
      </c>
      <c r="W60" s="616">
        <v>7000</v>
      </c>
      <c r="X60" s="616">
        <v>8000</v>
      </c>
      <c r="Y60" s="616">
        <v>6000</v>
      </c>
      <c r="Z60" s="616">
        <v>10000</v>
      </c>
      <c r="AA60" s="755">
        <v>8000</v>
      </c>
      <c r="AB60" s="755">
        <v>8000</v>
      </c>
      <c r="AC60" s="616"/>
      <c r="AD60" s="616"/>
      <c r="AE60" s="616"/>
      <c r="AF60" s="616"/>
    </row>
    <row r="61" spans="1:32">
      <c r="A61" s="34"/>
      <c r="B61" s="34" t="s">
        <v>185</v>
      </c>
      <c r="C61" s="34"/>
      <c r="D61" s="34"/>
      <c r="E61" s="34"/>
      <c r="F61" s="616">
        <v>0</v>
      </c>
      <c r="G61" s="616">
        <v>0</v>
      </c>
      <c r="H61" s="616">
        <v>1387</v>
      </c>
      <c r="I61" s="616">
        <v>-7570</v>
      </c>
      <c r="J61" s="616">
        <v>-2099</v>
      </c>
      <c r="K61" s="616">
        <v>-15627</v>
      </c>
      <c r="L61" s="616">
        <v>-17724</v>
      </c>
      <c r="M61" s="616">
        <v>6</v>
      </c>
      <c r="N61" s="616">
        <v>4</v>
      </c>
      <c r="O61" s="616">
        <v>85</v>
      </c>
      <c r="P61" s="616">
        <v>340</v>
      </c>
      <c r="Q61" s="616">
        <v>-2720</v>
      </c>
      <c r="R61" s="616"/>
      <c r="S61" s="616">
        <v>7862</v>
      </c>
      <c r="T61" s="616"/>
      <c r="U61" s="616"/>
      <c r="V61" s="616"/>
      <c r="W61" s="616"/>
      <c r="X61" s="616"/>
      <c r="Y61" s="616"/>
      <c r="Z61" s="616"/>
      <c r="AA61" s="616"/>
      <c r="AB61" s="616"/>
      <c r="AC61" s="616"/>
      <c r="AD61" s="616"/>
      <c r="AE61" s="616"/>
      <c r="AF61" s="616"/>
    </row>
    <row r="62" spans="1:32">
      <c r="A62" s="34"/>
      <c r="B62" s="34" t="s">
        <v>1217</v>
      </c>
      <c r="C62" s="34"/>
      <c r="D62" s="34"/>
      <c r="E62" s="34"/>
      <c r="F62" s="616">
        <v>0</v>
      </c>
      <c r="G62" s="616">
        <v>0</v>
      </c>
      <c r="H62" s="616">
        <v>0</v>
      </c>
      <c r="I62" s="616">
        <v>0</v>
      </c>
      <c r="J62" s="616">
        <v>0</v>
      </c>
      <c r="K62" s="616">
        <v>0</v>
      </c>
      <c r="L62" s="616">
        <v>0</v>
      </c>
      <c r="M62" s="616">
        <v>14891</v>
      </c>
      <c r="N62" s="616">
        <v>2316</v>
      </c>
      <c r="O62" s="616">
        <v>-24352</v>
      </c>
      <c r="P62" s="616">
        <v>-5525</v>
      </c>
      <c r="Q62" s="616">
        <v>659</v>
      </c>
      <c r="R62" s="616">
        <v>420</v>
      </c>
      <c r="S62" s="616">
        <v>-8325</v>
      </c>
      <c r="T62" s="616">
        <v>4000</v>
      </c>
      <c r="U62" s="616">
        <v>-5000</v>
      </c>
      <c r="V62" s="616">
        <v>5000</v>
      </c>
      <c r="W62" s="616">
        <v>7000</v>
      </c>
      <c r="X62" s="616">
        <v>-8000</v>
      </c>
      <c r="Y62" s="616">
        <v>7000</v>
      </c>
      <c r="Z62" s="616">
        <v>-39000</v>
      </c>
      <c r="AA62" s="616">
        <v>-49000</v>
      </c>
      <c r="AB62" s="616">
        <v>-51000</v>
      </c>
      <c r="AC62" s="616"/>
      <c r="AD62" s="616"/>
      <c r="AE62" s="616"/>
      <c r="AF62" s="616"/>
    </row>
    <row r="63" spans="1:32">
      <c r="A63" s="34"/>
      <c r="B63" s="34" t="s">
        <v>187</v>
      </c>
      <c r="C63" s="34"/>
      <c r="D63" s="34"/>
      <c r="E63" s="34"/>
      <c r="F63" s="616">
        <v>0</v>
      </c>
      <c r="G63" s="616">
        <v>0</v>
      </c>
      <c r="H63" s="616">
        <v>0</v>
      </c>
      <c r="I63" s="616">
        <v>0</v>
      </c>
      <c r="J63" s="616">
        <v>0</v>
      </c>
      <c r="K63" s="616">
        <v>0</v>
      </c>
      <c r="L63" s="616">
        <v>0</v>
      </c>
      <c r="M63" s="616">
        <v>1065</v>
      </c>
      <c r="N63" s="616">
        <v>1544</v>
      </c>
      <c r="O63" s="616">
        <v>-673</v>
      </c>
      <c r="P63" s="616">
        <v>380</v>
      </c>
      <c r="Q63" s="616">
        <v>387</v>
      </c>
      <c r="R63" s="616">
        <v>-37134</v>
      </c>
      <c r="S63" s="616"/>
      <c r="T63" s="616"/>
      <c r="U63" s="616"/>
      <c r="V63" s="616"/>
      <c r="W63" s="616"/>
      <c r="X63" s="616"/>
      <c r="Y63" s="616"/>
      <c r="Z63" s="616"/>
      <c r="AA63" s="616"/>
      <c r="AB63" s="616"/>
      <c r="AC63" s="616"/>
      <c r="AD63" s="616"/>
      <c r="AE63" s="616"/>
      <c r="AF63" s="616"/>
    </row>
    <row r="64" spans="1:32">
      <c r="A64" s="34"/>
      <c r="B64" s="34" t="s">
        <v>188</v>
      </c>
      <c r="C64" s="34"/>
      <c r="D64" s="34"/>
      <c r="E64" s="34"/>
      <c r="F64" s="702">
        <v>-38645</v>
      </c>
      <c r="G64" s="702">
        <v>-4662</v>
      </c>
      <c r="H64" s="702">
        <v>-61041</v>
      </c>
      <c r="I64" s="702">
        <v>-7985</v>
      </c>
      <c r="J64" s="702">
        <v>24099</v>
      </c>
      <c r="K64" s="702">
        <v>139604</v>
      </c>
      <c r="L64" s="702">
        <v>209002</v>
      </c>
      <c r="M64" s="702">
        <v>169389</v>
      </c>
      <c r="N64" s="702">
        <v>39807</v>
      </c>
      <c r="O64" s="702">
        <v>-111560</v>
      </c>
      <c r="P64" s="702">
        <v>-50648</v>
      </c>
      <c r="Q64" s="702">
        <v>-215998</v>
      </c>
      <c r="R64" s="702">
        <v>1854100</v>
      </c>
      <c r="S64" s="702">
        <v>1883846</v>
      </c>
      <c r="T64" s="702">
        <v>1917000</v>
      </c>
      <c r="U64" s="702">
        <v>1968000</v>
      </c>
      <c r="V64" s="702">
        <v>1546000</v>
      </c>
      <c r="W64" s="702">
        <v>1294000</v>
      </c>
      <c r="X64" s="702">
        <v>1263000</v>
      </c>
      <c r="Y64" s="702">
        <v>1194000</v>
      </c>
      <c r="Z64" s="702">
        <v>1288000</v>
      </c>
      <c r="AA64" s="702">
        <v>1134000</v>
      </c>
      <c r="AB64" s="702">
        <v>1048000</v>
      </c>
      <c r="AC64" s="616"/>
      <c r="AD64" s="616"/>
      <c r="AE64" s="616"/>
      <c r="AF64" s="616"/>
    </row>
    <row r="65" spans="1:32">
      <c r="A65" s="34"/>
      <c r="B65" s="34" t="s">
        <v>192</v>
      </c>
      <c r="C65" s="34"/>
      <c r="D65" s="34"/>
      <c r="E65" s="34"/>
      <c r="F65" s="616">
        <v>1561355</v>
      </c>
      <c r="G65" s="616">
        <v>1595338</v>
      </c>
      <c r="H65" s="616">
        <v>1540346</v>
      </c>
      <c r="I65" s="616">
        <v>1584445</v>
      </c>
      <c r="J65" s="616">
        <v>1622000</v>
      </c>
      <c r="K65" s="616">
        <v>1723977</v>
      </c>
      <c r="L65" s="616">
        <v>1791278</v>
      </c>
      <c r="M65" s="616">
        <v>1785351</v>
      </c>
      <c r="N65" s="616">
        <v>1643671</v>
      </c>
      <c r="O65" s="616">
        <v>1463500</v>
      </c>
      <c r="P65" s="616">
        <v>1544547</v>
      </c>
      <c r="Q65" s="616">
        <v>1382328</v>
      </c>
      <c r="R65" s="616">
        <v>3235610</v>
      </c>
      <c r="S65" s="616">
        <v>3417672</v>
      </c>
      <c r="T65" s="616">
        <v>3537000</v>
      </c>
      <c r="U65" s="616">
        <v>3582000</v>
      </c>
      <c r="V65" s="616">
        <v>3171000</v>
      </c>
      <c r="W65" s="616">
        <v>2823000</v>
      </c>
      <c r="X65" s="616">
        <v>2778000</v>
      </c>
      <c r="Y65" s="616">
        <v>2727000</v>
      </c>
      <c r="Z65" s="616">
        <v>2782000</v>
      </c>
      <c r="AA65" s="616">
        <v>2621000</v>
      </c>
      <c r="AB65" s="616">
        <v>2927000</v>
      </c>
      <c r="AC65" s="616"/>
      <c r="AD65" s="616"/>
      <c r="AE65" s="616"/>
      <c r="AF65" s="616"/>
    </row>
    <row r="66" spans="1:32">
      <c r="A66" s="34"/>
      <c r="B66" s="34"/>
      <c r="C66" s="34"/>
      <c r="D66" s="1276" t="s">
        <v>1208</v>
      </c>
      <c r="E66" s="34"/>
      <c r="F66" s="616"/>
      <c r="G66" s="616"/>
      <c r="H66" s="616"/>
      <c r="I66" s="616"/>
      <c r="J66" s="616"/>
      <c r="K66" s="616"/>
      <c r="L66" s="616"/>
      <c r="M66" s="616"/>
      <c r="N66" s="616"/>
      <c r="O66" s="616"/>
      <c r="P66" s="616"/>
      <c r="Q66" s="616"/>
      <c r="R66" s="616">
        <v>-9</v>
      </c>
      <c r="S66" s="616">
        <v>464</v>
      </c>
      <c r="T66" s="616"/>
      <c r="U66" s="616"/>
      <c r="V66" s="616"/>
      <c r="W66" s="616"/>
      <c r="X66" s="616"/>
      <c r="Y66" s="616"/>
      <c r="Z66" s="616"/>
      <c r="AA66" s="616"/>
      <c r="AB66" s="616"/>
      <c r="AC66" s="616"/>
      <c r="AD66" s="616"/>
      <c r="AE66" s="616"/>
      <c r="AF66" s="616"/>
    </row>
    <row r="67" spans="1:32" ht="13.5" thickBot="1">
      <c r="A67" s="34"/>
      <c r="B67" s="613" t="s">
        <v>165</v>
      </c>
      <c r="C67" s="34"/>
      <c r="D67" s="34"/>
      <c r="E67" s="34"/>
      <c r="F67" s="725" t="e">
        <v>#REF!</v>
      </c>
      <c r="G67" s="725" t="e">
        <v>#REF!</v>
      </c>
      <c r="H67" s="725" t="e">
        <v>#REF!</v>
      </c>
      <c r="I67" s="725" t="e">
        <v>#REF!</v>
      </c>
      <c r="J67" s="725" t="e">
        <v>#REF!</v>
      </c>
      <c r="K67" s="725" t="e">
        <v>#REF!</v>
      </c>
      <c r="L67" s="725" t="e">
        <v>#REF!</v>
      </c>
      <c r="M67" s="725" t="e">
        <v>#REF!</v>
      </c>
      <c r="N67" s="725" t="e">
        <v>#REF!</v>
      </c>
      <c r="O67" s="725" t="e">
        <v>#REF!</v>
      </c>
      <c r="P67" s="725" t="e">
        <v>#REF!</v>
      </c>
      <c r="Q67" s="725" t="e">
        <v>#REF!</v>
      </c>
      <c r="R67" s="725">
        <v>5643490</v>
      </c>
      <c r="S67" s="725">
        <v>6112392</v>
      </c>
      <c r="T67" s="725">
        <v>6197000</v>
      </c>
      <c r="U67" s="725">
        <v>6186000</v>
      </c>
      <c r="V67" s="725">
        <v>6089000</v>
      </c>
      <c r="W67" s="725">
        <v>5652000</v>
      </c>
      <c r="X67" s="725">
        <v>5455000</v>
      </c>
      <c r="Y67" s="725">
        <v>5311000</v>
      </c>
      <c r="Z67" s="725">
        <v>4954000</v>
      </c>
      <c r="AA67" s="725">
        <v>4896000</v>
      </c>
      <c r="AB67" s="725">
        <v>5028000</v>
      </c>
      <c r="AC67" s="616"/>
      <c r="AD67" s="616"/>
      <c r="AE67" s="616"/>
      <c r="AF67" s="616"/>
    </row>
    <row r="68" spans="1:32" ht="13.5" thickTop="1">
      <c r="A68" s="1108"/>
      <c r="B68" s="1181"/>
      <c r="C68" s="1110"/>
      <c r="D68" s="1157" t="s">
        <v>93</v>
      </c>
      <c r="E68" s="1157"/>
      <c r="F68" s="1020" t="e">
        <v>#REF!</v>
      </c>
      <c r="G68" s="1020" t="e">
        <v>#REF!</v>
      </c>
      <c r="H68" s="1020" t="e">
        <v>#REF!</v>
      </c>
      <c r="I68" s="1020" t="e">
        <v>#REF!</v>
      </c>
      <c r="J68" s="1020" t="e">
        <v>#REF!</v>
      </c>
      <c r="K68" s="1020" t="e">
        <v>#REF!</v>
      </c>
      <c r="L68" s="1020" t="e">
        <v>#REF!</v>
      </c>
      <c r="M68" s="1020" t="e">
        <v>#REF!</v>
      </c>
      <c r="N68" s="1020" t="e">
        <v>#REF!</v>
      </c>
      <c r="O68" s="1020" t="e">
        <v>#REF!</v>
      </c>
      <c r="P68" s="1020" t="e">
        <v>#REF!</v>
      </c>
      <c r="Q68" s="1020" t="e">
        <v>#REF!</v>
      </c>
      <c r="R68" s="707"/>
      <c r="S68" s="707">
        <v>0</v>
      </c>
      <c r="T68" s="616">
        <v>0</v>
      </c>
      <c r="U68" s="616">
        <v>0</v>
      </c>
      <c r="V68" s="616">
        <v>0</v>
      </c>
      <c r="W68" s="616">
        <v>0</v>
      </c>
      <c r="X68" s="616">
        <v>0</v>
      </c>
      <c r="Y68" s="616">
        <v>0</v>
      </c>
      <c r="Z68" s="616">
        <v>0</v>
      </c>
      <c r="AA68" s="616">
        <v>0</v>
      </c>
      <c r="AB68" s="616">
        <v>0</v>
      </c>
      <c r="AC68" s="616"/>
      <c r="AD68" s="616"/>
      <c r="AE68" s="616"/>
      <c r="AF68" s="616"/>
    </row>
    <row r="69" spans="1:32" ht="18">
      <c r="A69" s="1180"/>
      <c r="B69" s="1180"/>
      <c r="C69" s="1180"/>
      <c r="D69" s="1180"/>
      <c r="E69" s="1508"/>
      <c r="F69" s="1508"/>
      <c r="G69" s="1508"/>
      <c r="H69" s="1508"/>
      <c r="I69" s="1512"/>
      <c r="J69" s="1512"/>
      <c r="K69" s="1512"/>
      <c r="L69" s="1004"/>
      <c r="M69" s="1017"/>
      <c r="N69" s="1004"/>
      <c r="O69" s="761"/>
      <c r="P69" s="752"/>
      <c r="Q69" s="684"/>
      <c r="R69" s="684"/>
      <c r="S69" s="45"/>
      <c r="T69" s="684"/>
      <c r="U69" s="684"/>
      <c r="V69" s="684"/>
      <c r="W69" s="1552" t="s">
        <v>211</v>
      </c>
      <c r="X69" s="1553"/>
      <c r="Y69" s="1553"/>
      <c r="Z69" s="1553"/>
      <c r="AA69" s="1554"/>
      <c r="AB69" s="1084" t="s">
        <v>1460</v>
      </c>
      <c r="AC69" s="616"/>
      <c r="AD69" s="616"/>
      <c r="AE69" s="616"/>
      <c r="AF69" s="616"/>
    </row>
    <row r="70" spans="1:32" ht="14.25" customHeight="1">
      <c r="A70" s="1182"/>
      <c r="B70" s="1182"/>
      <c r="C70" s="1182"/>
      <c r="D70" s="1182"/>
      <c r="E70" s="1002"/>
      <c r="F70" s="34">
        <v>0</v>
      </c>
      <c r="G70" s="34">
        <v>1</v>
      </c>
      <c r="H70" s="34">
        <v>2</v>
      </c>
      <c r="I70" s="34">
        <v>3</v>
      </c>
      <c r="J70" s="34">
        <v>4</v>
      </c>
      <c r="K70" s="34">
        <v>5</v>
      </c>
      <c r="L70" s="34">
        <v>6</v>
      </c>
      <c r="M70" s="34">
        <v>7</v>
      </c>
      <c r="N70" s="1276">
        <v>8</v>
      </c>
      <c r="O70" s="34">
        <v>9</v>
      </c>
      <c r="P70" s="34">
        <v>10</v>
      </c>
      <c r="Q70" s="34">
        <v>11</v>
      </c>
      <c r="R70" s="34">
        <v>0</v>
      </c>
      <c r="S70" s="34">
        <v>1</v>
      </c>
      <c r="T70" s="34">
        <v>2</v>
      </c>
      <c r="U70" s="34">
        <v>3</v>
      </c>
      <c r="V70" s="34">
        <v>4</v>
      </c>
      <c r="W70" s="34">
        <v>5</v>
      </c>
      <c r="X70" s="34">
        <v>6</v>
      </c>
      <c r="Y70" s="34">
        <v>7</v>
      </c>
      <c r="Z70" s="34">
        <v>8</v>
      </c>
      <c r="AA70" s="34">
        <v>9</v>
      </c>
      <c r="AB70" s="34">
        <v>10</v>
      </c>
      <c r="AC70" s="616"/>
      <c r="AD70" s="616"/>
      <c r="AE70" s="616"/>
      <c r="AF70" s="616"/>
    </row>
    <row r="71" spans="1:32">
      <c r="E71" s="1276" t="s">
        <v>44</v>
      </c>
      <c r="F71" s="740">
        <v>1999</v>
      </c>
      <c r="G71" s="740">
        <v>2000</v>
      </c>
      <c r="H71" s="740">
        <v>2001</v>
      </c>
      <c r="I71" s="740">
        <v>2002</v>
      </c>
      <c r="J71" s="740">
        <v>2003</v>
      </c>
      <c r="K71" s="740">
        <v>2004</v>
      </c>
      <c r="L71" s="740">
        <v>2005</v>
      </c>
      <c r="M71" s="740">
        <v>2006</v>
      </c>
      <c r="N71" s="740">
        <v>2007</v>
      </c>
      <c r="O71" s="740">
        <v>2008</v>
      </c>
      <c r="P71" s="740">
        <v>2009</v>
      </c>
      <c r="Q71" s="740">
        <v>2010</v>
      </c>
      <c r="R71" s="980">
        <v>2011</v>
      </c>
      <c r="S71" s="980">
        <v>2012</v>
      </c>
      <c r="T71" s="980">
        <v>2013</v>
      </c>
      <c r="U71" s="980">
        <v>2014</v>
      </c>
      <c r="V71" s="980">
        <v>2015</v>
      </c>
      <c r="W71" s="980">
        <v>2016</v>
      </c>
      <c r="X71" s="980">
        <v>2017</v>
      </c>
      <c r="Y71" s="980">
        <v>2018</v>
      </c>
      <c r="Z71" s="980">
        <v>2019</v>
      </c>
      <c r="AA71" s="980">
        <v>2020</v>
      </c>
      <c r="AB71" s="980">
        <v>2021</v>
      </c>
      <c r="AC71" s="616"/>
      <c r="AD71" s="616"/>
      <c r="AE71" s="616"/>
      <c r="AF71" s="616"/>
    </row>
    <row r="72" spans="1:32">
      <c r="A72" s="520" t="s">
        <v>22</v>
      </c>
      <c r="B72" s="745"/>
      <c r="C72" s="753"/>
      <c r="D72" s="753"/>
      <c r="E72" s="1276"/>
      <c r="F72" s="1276" t="s">
        <v>46</v>
      </c>
      <c r="G72" s="34"/>
      <c r="H72" s="34"/>
      <c r="I72" s="631"/>
      <c r="J72" s="631"/>
      <c r="K72" s="631"/>
      <c r="L72" s="760"/>
      <c r="M72" s="631"/>
      <c r="N72" s="631"/>
      <c r="O72" s="631"/>
      <c r="P72" s="713"/>
      <c r="Q72" s="713"/>
      <c r="R72" s="1516"/>
      <c r="S72" s="1516"/>
      <c r="T72" s="713"/>
      <c r="U72" s="713"/>
      <c r="V72" s="713"/>
      <c r="W72" s="713"/>
      <c r="X72" s="713"/>
      <c r="Y72" s="713"/>
      <c r="Z72" s="713"/>
      <c r="AA72" s="714"/>
      <c r="AB72" s="34"/>
      <c r="AC72" s="616"/>
      <c r="AD72" s="616"/>
      <c r="AE72" s="616"/>
      <c r="AF72" s="616"/>
    </row>
    <row r="73" spans="1:32">
      <c r="A73" s="616"/>
      <c r="B73" s="721" t="s">
        <v>1364</v>
      </c>
      <c r="C73" s="702"/>
      <c r="D73" s="43"/>
      <c r="E73" s="34"/>
      <c r="F73" s="616">
        <v>1819132</v>
      </c>
      <c r="G73" s="616">
        <v>2086591</v>
      </c>
      <c r="H73" s="616">
        <v>2225866</v>
      </c>
      <c r="I73" s="616">
        <v>2452025</v>
      </c>
      <c r="J73" s="616">
        <v>3162959</v>
      </c>
      <c r="K73" s="616">
        <v>3186769</v>
      </c>
      <c r="L73" s="616">
        <v>3592168</v>
      </c>
      <c r="M73" s="616">
        <v>4605643</v>
      </c>
      <c r="N73" s="616">
        <v>6120462</v>
      </c>
      <c r="O73" s="616">
        <v>6135215</v>
      </c>
      <c r="P73" s="616">
        <v>6164614</v>
      </c>
      <c r="Q73" s="616">
        <v>7749818</v>
      </c>
      <c r="R73" s="616">
        <v>4939583</v>
      </c>
      <c r="S73" s="616">
        <v>5059544</v>
      </c>
      <c r="T73" s="616">
        <v>5300000</v>
      </c>
      <c r="U73" s="616">
        <v>5966000</v>
      </c>
      <c r="V73" s="616">
        <v>6076000</v>
      </c>
      <c r="W73" s="616">
        <v>5683000</v>
      </c>
      <c r="X73" s="616">
        <v>5708000</v>
      </c>
      <c r="Y73" s="616">
        <v>5593000</v>
      </c>
      <c r="Z73" s="616">
        <v>5627000</v>
      </c>
      <c r="AA73" s="728">
        <v>5658000</v>
      </c>
      <c r="AB73" s="728">
        <v>5718000</v>
      </c>
      <c r="AC73" s="616"/>
      <c r="AD73" s="616"/>
      <c r="AE73" s="616"/>
      <c r="AF73" s="616"/>
    </row>
    <row r="74" spans="1:32">
      <c r="A74" s="616"/>
      <c r="B74" s="34" t="s">
        <v>212</v>
      </c>
      <c r="C74" s="616"/>
      <c r="D74" s="34"/>
      <c r="E74" s="34"/>
      <c r="F74" s="702">
        <v>-13424</v>
      </c>
      <c r="G74" s="702">
        <v>-57731</v>
      </c>
      <c r="H74" s="702">
        <v>-118744</v>
      </c>
      <c r="I74" s="702">
        <v>-154202</v>
      </c>
      <c r="J74" s="702">
        <v>-8228</v>
      </c>
      <c r="K74" s="702">
        <v>-72988</v>
      </c>
      <c r="L74" s="702">
        <v>-148127</v>
      </c>
      <c r="M74" s="702">
        <v>0</v>
      </c>
      <c r="N74" s="702">
        <v>0</v>
      </c>
      <c r="O74" s="702">
        <v>-129256</v>
      </c>
      <c r="P74" s="702">
        <v>-260394</v>
      </c>
      <c r="Q74" s="702">
        <v>-1102</v>
      </c>
      <c r="R74" s="702">
        <v>-795846</v>
      </c>
      <c r="S74" s="702">
        <v>-910787</v>
      </c>
      <c r="T74" s="702">
        <v>-1037000</v>
      </c>
      <c r="U74" s="702">
        <v>-1191000</v>
      </c>
      <c r="V74" s="702">
        <v>-1355000</v>
      </c>
      <c r="W74" s="702">
        <v>-1296000</v>
      </c>
      <c r="X74" s="702">
        <v>-1451000</v>
      </c>
      <c r="Y74" s="702">
        <v>-1538000</v>
      </c>
      <c r="Z74" s="702">
        <v>-1698000</v>
      </c>
      <c r="AA74" s="702">
        <v>-1872000</v>
      </c>
      <c r="AB74" s="699">
        <v>-2072000</v>
      </c>
      <c r="AC74" s="616"/>
      <c r="AD74" s="616"/>
      <c r="AE74" s="616"/>
      <c r="AF74" s="616"/>
    </row>
    <row r="75" spans="1:32">
      <c r="A75" s="616"/>
      <c r="B75" s="613" t="s">
        <v>213</v>
      </c>
      <c r="C75" s="616"/>
      <c r="D75" s="34"/>
      <c r="E75" s="34"/>
      <c r="F75" s="616">
        <v>1805708</v>
      </c>
      <c r="G75" s="616">
        <v>2028860</v>
      </c>
      <c r="H75" s="616">
        <v>2107122</v>
      </c>
      <c r="I75" s="616">
        <v>2297823</v>
      </c>
      <c r="J75" s="616">
        <v>3154731</v>
      </c>
      <c r="K75" s="616">
        <v>3113781</v>
      </c>
      <c r="L75" s="616">
        <v>3444041</v>
      </c>
      <c r="M75" s="616">
        <v>4605643</v>
      </c>
      <c r="N75" s="616">
        <v>6120462</v>
      </c>
      <c r="O75" s="616">
        <v>6005959</v>
      </c>
      <c r="P75" s="616">
        <v>5904220</v>
      </c>
      <c r="Q75" s="616">
        <v>7748716</v>
      </c>
      <c r="R75" s="760">
        <v>4143737</v>
      </c>
      <c r="S75" s="760">
        <v>4148757</v>
      </c>
      <c r="T75" s="760">
        <v>4263000</v>
      </c>
      <c r="U75" s="760">
        <v>4775000</v>
      </c>
      <c r="V75" s="760">
        <v>4721000</v>
      </c>
      <c r="W75" s="760">
        <v>4387000</v>
      </c>
      <c r="X75" s="760">
        <v>4257000</v>
      </c>
      <c r="Y75" s="760">
        <v>4055000</v>
      </c>
      <c r="Z75" s="760">
        <v>3929000</v>
      </c>
      <c r="AA75" s="760">
        <v>3786000</v>
      </c>
      <c r="AB75" s="760">
        <v>3646000</v>
      </c>
      <c r="AC75" s="616"/>
      <c r="AD75" s="616"/>
      <c r="AE75" s="616"/>
      <c r="AF75" s="616"/>
    </row>
    <row r="76" spans="1:32">
      <c r="A76" s="616"/>
      <c r="B76" s="34"/>
      <c r="C76" s="616"/>
      <c r="D76" s="34"/>
      <c r="E76" s="34"/>
      <c r="F76" s="616"/>
      <c r="G76" s="616"/>
      <c r="H76" s="616"/>
      <c r="I76" s="616"/>
      <c r="J76" s="616"/>
      <c r="K76" s="616"/>
      <c r="L76" s="616"/>
      <c r="M76" s="616"/>
      <c r="N76" s="616"/>
      <c r="O76" s="616"/>
      <c r="P76" s="616"/>
      <c r="Q76" s="616"/>
      <c r="R76" s="616"/>
      <c r="S76" s="616"/>
      <c r="T76" s="616"/>
      <c r="U76" s="616"/>
      <c r="V76" s="616"/>
      <c r="W76" s="616"/>
      <c r="X76" s="616"/>
      <c r="Y76" s="616"/>
      <c r="Z76" s="616"/>
      <c r="AA76" s="616"/>
      <c r="AB76" s="760"/>
      <c r="AC76" s="616"/>
      <c r="AD76" s="616"/>
      <c r="AE76" s="616"/>
      <c r="AF76" s="616"/>
    </row>
    <row r="77" spans="1:32">
      <c r="A77" s="616"/>
      <c r="B77" s="721" t="s">
        <v>157</v>
      </c>
      <c r="C77" s="702"/>
      <c r="D77" s="43"/>
      <c r="E77" s="34"/>
      <c r="F77" s="616">
        <v>36791</v>
      </c>
      <c r="G77" s="616">
        <v>26716</v>
      </c>
      <c r="H77" s="616">
        <v>26710</v>
      </c>
      <c r="I77" s="616">
        <v>9454</v>
      </c>
      <c r="J77" s="616">
        <v>8015</v>
      </c>
      <c r="K77" s="616">
        <v>39908</v>
      </c>
      <c r="L77" s="616">
        <v>44496</v>
      </c>
      <c r="M77" s="616">
        <v>35013</v>
      </c>
      <c r="N77" s="616">
        <v>36354</v>
      </c>
      <c r="O77" s="616">
        <v>33744</v>
      </c>
      <c r="P77" s="616">
        <v>35635</v>
      </c>
      <c r="Q77" s="616">
        <v>40445</v>
      </c>
      <c r="R77" s="616">
        <v>289263</v>
      </c>
      <c r="S77" s="616">
        <v>301486</v>
      </c>
      <c r="T77" s="616">
        <v>231000</v>
      </c>
      <c r="U77" s="616">
        <v>233000</v>
      </c>
      <c r="V77" s="616">
        <v>252000</v>
      </c>
      <c r="W77" s="616">
        <v>243000</v>
      </c>
      <c r="X77" s="616">
        <v>240000</v>
      </c>
      <c r="Y77" s="616">
        <v>86000</v>
      </c>
      <c r="Z77" s="616">
        <v>111000</v>
      </c>
      <c r="AA77" s="616">
        <v>119000</v>
      </c>
      <c r="AB77" s="760">
        <v>132000</v>
      </c>
      <c r="AC77" s="616"/>
      <c r="AD77" s="616"/>
      <c r="AE77" s="616"/>
      <c r="AF77" s="616"/>
    </row>
    <row r="78" spans="1:32">
      <c r="A78" s="616"/>
      <c r="B78" s="34" t="s">
        <v>1349</v>
      </c>
      <c r="C78" s="616"/>
      <c r="D78" s="34"/>
      <c r="E78" s="34"/>
      <c r="F78" s="702">
        <v>0</v>
      </c>
      <c r="G78" s="702">
        <v>0</v>
      </c>
      <c r="H78" s="702">
        <v>0</v>
      </c>
      <c r="I78" s="702">
        <v>0</v>
      </c>
      <c r="J78" s="702">
        <v>-305</v>
      </c>
      <c r="K78" s="702">
        <v>-3607</v>
      </c>
      <c r="L78" s="702">
        <v>-6732</v>
      </c>
      <c r="M78" s="702">
        <v>0</v>
      </c>
      <c r="N78" s="702">
        <v>0</v>
      </c>
      <c r="O78" s="702">
        <v>0</v>
      </c>
      <c r="P78" s="702">
        <v>0</v>
      </c>
      <c r="Q78" s="702">
        <v>0</v>
      </c>
      <c r="R78" s="699">
        <v>-165369</v>
      </c>
      <c r="S78" s="699">
        <v>-178360</v>
      </c>
      <c r="T78" s="699">
        <v>-146000</v>
      </c>
      <c r="U78" s="699">
        <v>-158000</v>
      </c>
      <c r="V78" s="699">
        <v>-167000</v>
      </c>
      <c r="W78" s="699">
        <v>-161000</v>
      </c>
      <c r="X78" s="699">
        <v>-162000</v>
      </c>
      <c r="Y78" s="699">
        <v>-77000</v>
      </c>
      <c r="Z78" s="699">
        <v>-98000</v>
      </c>
      <c r="AA78" s="699">
        <v>-102000</v>
      </c>
      <c r="AB78" s="699">
        <v>-112000</v>
      </c>
      <c r="AC78" s="616"/>
      <c r="AD78" s="616"/>
      <c r="AE78" s="616"/>
      <c r="AF78" s="616"/>
    </row>
    <row r="79" spans="1:32">
      <c r="A79" s="616"/>
      <c r="B79" s="34" t="s">
        <v>164</v>
      </c>
      <c r="C79" s="616"/>
      <c r="D79" s="34"/>
      <c r="E79" s="34"/>
      <c r="F79" s="616">
        <v>0</v>
      </c>
      <c r="G79" s="616">
        <v>0</v>
      </c>
      <c r="H79" s="616">
        <v>0</v>
      </c>
      <c r="I79" s="616">
        <v>0</v>
      </c>
      <c r="J79" s="616">
        <v>-305</v>
      </c>
      <c r="K79" s="616">
        <v>-3607</v>
      </c>
      <c r="L79" s="616">
        <v>-6732</v>
      </c>
      <c r="M79" s="616">
        <v>0</v>
      </c>
      <c r="N79" s="616" t="e">
        <v>#REF!</v>
      </c>
      <c r="O79" s="616" t="e">
        <v>#REF!</v>
      </c>
      <c r="P79" s="616" t="e">
        <v>#REF!</v>
      </c>
      <c r="Q79" s="616" t="e">
        <v>#REF!</v>
      </c>
      <c r="R79" s="616">
        <v>123894</v>
      </c>
      <c r="S79" s="616">
        <v>123126</v>
      </c>
      <c r="T79" s="616">
        <v>85000</v>
      </c>
      <c r="U79" s="616">
        <v>75000</v>
      </c>
      <c r="V79" s="616">
        <v>85000</v>
      </c>
      <c r="W79" s="616">
        <v>82000</v>
      </c>
      <c r="X79" s="616">
        <v>78000</v>
      </c>
      <c r="Y79" s="616">
        <v>9000</v>
      </c>
      <c r="Z79" s="616">
        <v>13000</v>
      </c>
      <c r="AA79" s="616">
        <v>17000</v>
      </c>
      <c r="AB79" s="616">
        <v>20000</v>
      </c>
    </row>
    <row r="80" spans="1:32">
      <c r="A80" s="616"/>
      <c r="U80" s="1121"/>
      <c r="V80" s="1121"/>
      <c r="X80" s="1121"/>
    </row>
    <row r="81" spans="1:29">
      <c r="A81" s="616"/>
      <c r="B81" s="721" t="s">
        <v>1187</v>
      </c>
      <c r="C81" s="702"/>
      <c r="D81" s="43"/>
      <c r="E81" s="34"/>
      <c r="F81" s="616">
        <v>6226</v>
      </c>
      <c r="G81" s="616">
        <v>6129</v>
      </c>
      <c r="H81" s="616">
        <v>6052</v>
      </c>
      <c r="I81" s="616">
        <v>6440</v>
      </c>
      <c r="J81" s="616">
        <v>6470</v>
      </c>
      <c r="K81" s="616">
        <v>14632</v>
      </c>
      <c r="L81" s="616">
        <v>15566</v>
      </c>
      <c r="M81" s="616">
        <v>9806</v>
      </c>
      <c r="N81" s="616">
        <v>10496</v>
      </c>
      <c r="O81" s="616">
        <v>10882</v>
      </c>
      <c r="P81" s="616">
        <v>11995</v>
      </c>
      <c r="Q81" s="616">
        <v>12815</v>
      </c>
      <c r="R81" s="616">
        <v>53054</v>
      </c>
      <c r="S81" s="616">
        <v>56318</v>
      </c>
      <c r="T81" s="616">
        <v>28000</v>
      </c>
      <c r="U81" s="616">
        <v>27000</v>
      </c>
      <c r="V81" s="616">
        <v>33000</v>
      </c>
      <c r="W81" s="616">
        <v>30000</v>
      </c>
      <c r="X81" s="616">
        <v>30000</v>
      </c>
      <c r="Y81" s="616">
        <v>22000</v>
      </c>
      <c r="Z81" s="616"/>
      <c r="AA81" s="616"/>
      <c r="AB81" s="760"/>
    </row>
    <row r="82" spans="1:29">
      <c r="A82" s="616"/>
      <c r="B82" s="34" t="s">
        <v>212</v>
      </c>
      <c r="C82" s="616"/>
      <c r="D82" s="34"/>
      <c r="E82" s="34"/>
      <c r="F82" s="702">
        <v>-48</v>
      </c>
      <c r="G82" s="702">
        <v>-240</v>
      </c>
      <c r="H82" s="702">
        <v>-433</v>
      </c>
      <c r="I82" s="702">
        <v>-706</v>
      </c>
      <c r="J82" s="702">
        <v>-926</v>
      </c>
      <c r="K82" s="702">
        <v>-1299</v>
      </c>
      <c r="L82" s="702">
        <v>-1694</v>
      </c>
      <c r="M82" s="702">
        <v>-1229</v>
      </c>
      <c r="N82" s="702">
        <v>-1484</v>
      </c>
      <c r="O82" s="702">
        <v>-1600</v>
      </c>
      <c r="P82" s="702">
        <v>-1893</v>
      </c>
      <c r="Q82" s="702">
        <v>-2321</v>
      </c>
      <c r="R82" s="702">
        <v>-14010</v>
      </c>
      <c r="S82" s="702">
        <v>-16222</v>
      </c>
      <c r="T82" s="702">
        <v>-10000</v>
      </c>
      <c r="U82" s="702">
        <v>-11000</v>
      </c>
      <c r="V82" s="702">
        <v>-13000</v>
      </c>
      <c r="W82" s="702">
        <v>-15000</v>
      </c>
      <c r="X82" s="702">
        <v>-17000</v>
      </c>
      <c r="Y82" s="702">
        <v>-15000</v>
      </c>
      <c r="Z82" s="702"/>
      <c r="AA82" s="702"/>
      <c r="AB82" s="699"/>
    </row>
    <row r="83" spans="1:29">
      <c r="A83" s="616"/>
      <c r="B83" s="34" t="s">
        <v>214</v>
      </c>
      <c r="C83" s="616"/>
      <c r="D83" s="34"/>
      <c r="E83" s="34"/>
      <c r="F83" s="616">
        <v>6178</v>
      </c>
      <c r="G83" s="616">
        <v>5889</v>
      </c>
      <c r="H83" s="616">
        <v>5619</v>
      </c>
      <c r="I83" s="616">
        <v>5734</v>
      </c>
      <c r="J83" s="616">
        <v>5544</v>
      </c>
      <c r="K83" s="616">
        <v>13333</v>
      </c>
      <c r="L83" s="616">
        <v>13872</v>
      </c>
      <c r="M83" s="616">
        <v>8577</v>
      </c>
      <c r="N83" s="616">
        <v>9012</v>
      </c>
      <c r="O83" s="616">
        <v>9282</v>
      </c>
      <c r="P83" s="616">
        <v>10102</v>
      </c>
      <c r="Q83" s="616">
        <v>10494</v>
      </c>
      <c r="R83" s="616">
        <v>39044</v>
      </c>
      <c r="S83" s="616">
        <v>40096</v>
      </c>
      <c r="T83" s="616">
        <v>18000</v>
      </c>
      <c r="U83" s="616">
        <v>16000</v>
      </c>
      <c r="V83" s="616">
        <v>20000</v>
      </c>
      <c r="W83" s="616">
        <v>15000</v>
      </c>
      <c r="X83" s="616">
        <v>13000</v>
      </c>
      <c r="Y83" s="616">
        <v>7000</v>
      </c>
      <c r="Z83" s="616">
        <v>0</v>
      </c>
      <c r="AA83" s="616">
        <v>0</v>
      </c>
      <c r="AB83" s="616">
        <v>0</v>
      </c>
    </row>
    <row r="84" spans="1:29">
      <c r="A84" s="616"/>
      <c r="C84" s="616"/>
      <c r="D84" s="34"/>
      <c r="E84" s="34"/>
      <c r="F84" s="616"/>
      <c r="G84" s="616"/>
      <c r="H84" s="616"/>
      <c r="I84" s="616"/>
      <c r="J84" s="616"/>
      <c r="K84" s="616"/>
      <c r="L84" s="616"/>
      <c r="M84" s="616"/>
      <c r="N84" s="616"/>
      <c r="O84" s="616"/>
      <c r="P84" s="616"/>
      <c r="Q84" s="616"/>
      <c r="R84" s="616"/>
      <c r="S84" s="616"/>
      <c r="T84" s="616"/>
      <c r="U84" s="616"/>
      <c r="V84" s="616"/>
      <c r="W84" s="616"/>
      <c r="X84" s="616"/>
      <c r="Y84" s="616"/>
      <c r="Z84" s="616"/>
      <c r="AA84" s="616"/>
      <c r="AB84" s="760"/>
    </row>
    <row r="85" spans="1:29">
      <c r="A85" s="616"/>
      <c r="B85" s="721" t="s">
        <v>215</v>
      </c>
      <c r="C85" s="702"/>
      <c r="D85" s="43"/>
      <c r="E85" s="34"/>
      <c r="F85" s="616"/>
      <c r="G85" s="616"/>
      <c r="H85" s="616"/>
      <c r="I85" s="616"/>
      <c r="J85" s="616"/>
      <c r="K85" s="616"/>
      <c r="L85" s="616"/>
      <c r="M85" s="616"/>
      <c r="N85" s="616"/>
      <c r="O85" s="616"/>
      <c r="P85" s="616"/>
      <c r="Q85" s="616"/>
      <c r="R85" s="616"/>
      <c r="S85" s="616"/>
      <c r="T85" s="616"/>
      <c r="U85" s="616"/>
      <c r="V85" s="616"/>
      <c r="W85" s="616">
        <v>0</v>
      </c>
      <c r="X85" s="616">
        <v>75000</v>
      </c>
      <c r="Y85" s="616">
        <v>60000</v>
      </c>
      <c r="Z85" s="616">
        <v>60000</v>
      </c>
      <c r="AA85" s="616">
        <v>61000</v>
      </c>
      <c r="AB85" s="760">
        <v>67000</v>
      </c>
      <c r="AC85" s="1121"/>
    </row>
    <row r="86" spans="1:29">
      <c r="A86" s="616"/>
      <c r="B86" s="34" t="s">
        <v>212</v>
      </c>
      <c r="C86" s="616"/>
      <c r="D86" s="34"/>
      <c r="E86" s="34"/>
      <c r="F86" s="702"/>
      <c r="G86" s="702"/>
      <c r="H86" s="702"/>
      <c r="I86" s="702"/>
      <c r="J86" s="702"/>
      <c r="K86" s="702"/>
      <c r="L86" s="702"/>
      <c r="M86" s="702"/>
      <c r="N86" s="702"/>
      <c r="O86" s="702"/>
      <c r="P86" s="702"/>
      <c r="Q86" s="702"/>
      <c r="R86" s="702"/>
      <c r="S86" s="702"/>
      <c r="T86" s="702"/>
      <c r="U86" s="702"/>
      <c r="V86" s="702"/>
      <c r="W86" s="702">
        <v>0</v>
      </c>
      <c r="X86" s="702">
        <v>-32000</v>
      </c>
      <c r="Y86" s="702">
        <v>-28000</v>
      </c>
      <c r="Z86" s="702">
        <v>-31000</v>
      </c>
      <c r="AA86" s="702">
        <v>-34000</v>
      </c>
      <c r="AB86" s="699">
        <v>-38000</v>
      </c>
    </row>
    <row r="87" spans="1:29">
      <c r="A87" s="616"/>
      <c r="B87" s="34" t="s">
        <v>216</v>
      </c>
      <c r="C87" s="616"/>
      <c r="D87" s="34"/>
      <c r="E87" s="34"/>
      <c r="F87" s="616"/>
      <c r="G87" s="616"/>
      <c r="H87" s="616"/>
      <c r="I87" s="616"/>
      <c r="J87" s="616"/>
      <c r="K87" s="616"/>
      <c r="L87" s="616"/>
      <c r="M87" s="616"/>
      <c r="N87" s="616"/>
      <c r="O87" s="616"/>
      <c r="P87" s="616"/>
      <c r="Q87" s="616"/>
      <c r="R87" s="760">
        <v>0</v>
      </c>
      <c r="S87" s="760">
        <v>0</v>
      </c>
      <c r="T87" s="1103"/>
      <c r="U87" s="760">
        <v>0</v>
      </c>
      <c r="V87" s="760">
        <v>0</v>
      </c>
      <c r="W87" s="760">
        <v>0</v>
      </c>
      <c r="X87" s="760">
        <v>43000</v>
      </c>
      <c r="Y87" s="760">
        <v>32000</v>
      </c>
      <c r="Z87" s="760">
        <v>29000</v>
      </c>
      <c r="AA87" s="760">
        <v>27000</v>
      </c>
      <c r="AB87" s="760">
        <v>29000</v>
      </c>
    </row>
    <row r="88" spans="1:29">
      <c r="A88" s="616"/>
      <c r="B88" s="34"/>
      <c r="C88" s="616"/>
      <c r="D88" s="34"/>
      <c r="E88" s="34"/>
      <c r="F88" s="616"/>
      <c r="G88" s="616"/>
      <c r="H88" s="616"/>
      <c r="I88" s="616"/>
      <c r="J88" s="616"/>
      <c r="K88" s="616"/>
      <c r="L88" s="616"/>
      <c r="M88" s="616"/>
      <c r="N88" s="616"/>
      <c r="O88" s="616"/>
      <c r="P88" s="616"/>
      <c r="Q88" s="616"/>
      <c r="R88" s="616"/>
      <c r="S88" s="616"/>
      <c r="T88" s="616"/>
      <c r="U88" s="616"/>
      <c r="V88" s="616"/>
      <c r="W88" s="616"/>
      <c r="X88" s="616"/>
      <c r="Y88" s="616"/>
      <c r="Z88" s="616"/>
      <c r="AA88" s="616"/>
      <c r="AB88" s="760"/>
    </row>
    <row r="89" spans="1:29">
      <c r="A89" s="616"/>
      <c r="B89" s="721" t="s">
        <v>159</v>
      </c>
      <c r="C89" s="702"/>
      <c r="D89" s="43"/>
      <c r="E89" s="34"/>
      <c r="F89" s="616">
        <v>204946</v>
      </c>
      <c r="G89" s="616">
        <v>119014</v>
      </c>
      <c r="H89" s="616">
        <v>212544</v>
      </c>
      <c r="I89" s="616">
        <v>52823</v>
      </c>
      <c r="J89" s="616">
        <v>118126</v>
      </c>
      <c r="K89" s="616">
        <v>215374</v>
      </c>
      <c r="L89" s="616">
        <v>93643</v>
      </c>
      <c r="M89" s="616">
        <v>94869</v>
      </c>
      <c r="N89" s="616">
        <v>94932</v>
      </c>
      <c r="O89" s="616">
        <v>309589</v>
      </c>
      <c r="P89" s="616">
        <v>677980</v>
      </c>
      <c r="Q89" s="616">
        <v>283522</v>
      </c>
      <c r="R89" s="616">
        <v>509774</v>
      </c>
      <c r="S89" s="616">
        <v>851620</v>
      </c>
      <c r="T89" s="616">
        <v>868000</v>
      </c>
      <c r="U89" s="616">
        <v>380000</v>
      </c>
      <c r="V89" s="616">
        <v>318000</v>
      </c>
      <c r="W89" s="616">
        <v>216000</v>
      </c>
      <c r="X89" s="616">
        <v>221000</v>
      </c>
      <c r="Y89" s="616">
        <v>151000</v>
      </c>
      <c r="Z89" s="616">
        <v>156000</v>
      </c>
      <c r="AA89" s="616">
        <v>197000</v>
      </c>
      <c r="AB89" s="760">
        <v>267000</v>
      </c>
    </row>
    <row r="90" spans="1:29">
      <c r="A90" s="616"/>
      <c r="B90" s="34" t="s">
        <v>1379</v>
      </c>
      <c r="C90" s="616"/>
      <c r="D90" s="34"/>
      <c r="E90" s="34"/>
      <c r="F90" s="702">
        <v>0</v>
      </c>
      <c r="G90" s="702">
        <v>0</v>
      </c>
      <c r="H90" s="702">
        <v>0</v>
      </c>
      <c r="I90" s="702">
        <v>0</v>
      </c>
      <c r="J90" s="702">
        <v>0</v>
      </c>
      <c r="K90" s="702">
        <v>0</v>
      </c>
      <c r="L90" s="702">
        <v>0</v>
      </c>
      <c r="M90" s="702">
        <v>0</v>
      </c>
      <c r="N90" s="702">
        <v>0</v>
      </c>
      <c r="O90" s="702">
        <v>0</v>
      </c>
      <c r="P90" s="702">
        <v>0</v>
      </c>
      <c r="Q90" s="702">
        <v>-1200</v>
      </c>
      <c r="R90" s="702">
        <v>-2830</v>
      </c>
      <c r="S90" s="702">
        <v>0</v>
      </c>
      <c r="T90" s="702">
        <v>-66000</v>
      </c>
      <c r="U90" s="702">
        <v>-66000</v>
      </c>
      <c r="V90" s="702">
        <v>-66000</v>
      </c>
      <c r="W90" s="702">
        <v>-1000</v>
      </c>
      <c r="X90" s="702">
        <v>-1000</v>
      </c>
      <c r="Y90" s="702">
        <v>-1000</v>
      </c>
      <c r="Z90" s="702">
        <v>-1000</v>
      </c>
      <c r="AA90" s="702">
        <v>-1000</v>
      </c>
      <c r="AB90" s="699">
        <v>-1000</v>
      </c>
    </row>
    <row r="91" spans="1:29">
      <c r="A91" s="616"/>
      <c r="B91" s="34" t="s">
        <v>217</v>
      </c>
      <c r="C91" s="616"/>
      <c r="D91" s="34"/>
      <c r="E91" s="34"/>
      <c r="F91" s="616">
        <v>204946</v>
      </c>
      <c r="G91" s="616">
        <v>119014</v>
      </c>
      <c r="H91" s="616">
        <v>212544</v>
      </c>
      <c r="I91" s="616">
        <v>52823</v>
      </c>
      <c r="J91" s="616">
        <v>118126</v>
      </c>
      <c r="K91" s="616">
        <v>215374</v>
      </c>
      <c r="L91" s="616">
        <v>93643</v>
      </c>
      <c r="M91" s="616">
        <v>94869</v>
      </c>
      <c r="N91" s="616">
        <v>94932</v>
      </c>
      <c r="O91" s="616">
        <v>309589</v>
      </c>
      <c r="P91" s="616">
        <v>677980</v>
      </c>
      <c r="Q91" s="616">
        <v>282322</v>
      </c>
      <c r="R91" s="616">
        <v>506944</v>
      </c>
      <c r="S91" s="616">
        <v>851620</v>
      </c>
      <c r="T91" s="616">
        <v>802000</v>
      </c>
      <c r="U91" s="616">
        <v>314000</v>
      </c>
      <c r="V91" s="616">
        <v>252000</v>
      </c>
      <c r="W91" s="616">
        <v>215000</v>
      </c>
      <c r="X91" s="616">
        <v>220000</v>
      </c>
      <c r="Y91" s="616">
        <v>150000</v>
      </c>
      <c r="Z91" s="616">
        <v>155000</v>
      </c>
      <c r="AA91" s="616">
        <v>196000</v>
      </c>
      <c r="AB91" s="760">
        <v>266000</v>
      </c>
    </row>
    <row r="92" spans="1:29">
      <c r="A92" s="616"/>
      <c r="B92" s="613"/>
      <c r="C92" s="616"/>
      <c r="D92" s="34"/>
      <c r="E92" s="34"/>
      <c r="F92" s="616"/>
      <c r="G92" s="616"/>
      <c r="H92" s="616"/>
      <c r="I92" s="616"/>
      <c r="J92" s="616"/>
      <c r="K92" s="616"/>
      <c r="L92" s="616"/>
      <c r="M92" s="616"/>
      <c r="N92" s="616"/>
      <c r="O92" s="616"/>
      <c r="P92" s="616"/>
      <c r="Q92" s="616"/>
      <c r="R92" s="616"/>
      <c r="S92" s="616"/>
      <c r="T92" s="616"/>
      <c r="U92" s="616"/>
      <c r="V92" s="616"/>
      <c r="W92" s="616"/>
      <c r="X92" s="616"/>
      <c r="Y92" s="616"/>
      <c r="Z92" s="616"/>
      <c r="AA92" s="616"/>
      <c r="AB92" s="760"/>
    </row>
    <row r="93" spans="1:29">
      <c r="A93" s="616"/>
      <c r="B93" s="721" t="s">
        <v>218</v>
      </c>
      <c r="C93" s="702"/>
      <c r="D93" s="43"/>
      <c r="E93" s="34"/>
      <c r="F93" s="616"/>
      <c r="G93" s="616"/>
      <c r="H93" s="616"/>
      <c r="I93" s="616"/>
      <c r="J93" s="616"/>
      <c r="K93" s="616"/>
      <c r="L93" s="616"/>
      <c r="M93" s="616"/>
      <c r="N93" s="616"/>
      <c r="O93" s="616"/>
      <c r="P93" s="616"/>
      <c r="Q93" s="616"/>
      <c r="R93" s="616"/>
      <c r="S93" s="616"/>
      <c r="T93" s="616"/>
      <c r="U93" s="616"/>
      <c r="V93" s="616"/>
      <c r="W93" s="616"/>
      <c r="X93" s="616"/>
      <c r="Y93" s="616"/>
      <c r="Z93" s="616"/>
      <c r="AA93" s="616"/>
      <c r="AB93" s="760"/>
    </row>
    <row r="94" spans="1:29">
      <c r="A94" s="616"/>
      <c r="B94" s="613" t="s">
        <v>1364</v>
      </c>
      <c r="C94" s="616"/>
      <c r="D94" s="34"/>
      <c r="E94" s="34"/>
      <c r="F94" s="616">
        <v>1819132</v>
      </c>
      <c r="G94" s="616">
        <v>2086591</v>
      </c>
      <c r="H94" s="616">
        <v>2225866</v>
      </c>
      <c r="I94" s="616">
        <v>2452025</v>
      </c>
      <c r="J94" s="616">
        <v>3162959</v>
      </c>
      <c r="K94" s="616">
        <v>3186769</v>
      </c>
      <c r="L94" s="616">
        <v>3592168</v>
      </c>
      <c r="M94" s="616">
        <v>4605643</v>
      </c>
      <c r="N94" s="616">
        <v>6120462</v>
      </c>
      <c r="O94" s="616">
        <v>6135215</v>
      </c>
      <c r="P94" s="616">
        <v>6164614</v>
      </c>
      <c r="Q94" s="616">
        <v>7749818</v>
      </c>
      <c r="R94" s="616">
        <v>4939583</v>
      </c>
      <c r="S94" s="616">
        <v>5059544</v>
      </c>
      <c r="T94" s="616">
        <v>5300000</v>
      </c>
      <c r="U94" s="616">
        <v>5966000</v>
      </c>
      <c r="V94" s="616">
        <v>6076000</v>
      </c>
      <c r="W94" s="616">
        <v>5683000</v>
      </c>
      <c r="X94" s="616">
        <v>5708000</v>
      </c>
      <c r="Y94" s="616">
        <v>5593000</v>
      </c>
      <c r="Z94" s="616">
        <v>5627000</v>
      </c>
      <c r="AA94" s="616">
        <v>5658000</v>
      </c>
      <c r="AB94" s="616">
        <v>5718000</v>
      </c>
    </row>
    <row r="95" spans="1:29">
      <c r="A95" s="616"/>
      <c r="B95" s="613" t="s">
        <v>1188</v>
      </c>
      <c r="C95" s="616"/>
      <c r="D95" s="34"/>
      <c r="E95" s="34"/>
      <c r="F95" s="616" t="e">
        <v>#REF!</v>
      </c>
      <c r="G95" s="616" t="e">
        <v>#REF!</v>
      </c>
      <c r="H95" s="616" t="e">
        <v>#REF!</v>
      </c>
      <c r="I95" s="616" t="e">
        <v>#REF!</v>
      </c>
      <c r="J95" s="616" t="e">
        <v>#REF!</v>
      </c>
      <c r="K95" s="616" t="e">
        <v>#REF!</v>
      </c>
      <c r="L95" s="616" t="e">
        <v>#REF!</v>
      </c>
      <c r="M95" s="616" t="e">
        <v>#REF!</v>
      </c>
      <c r="N95" s="616" t="e">
        <v>#REF!</v>
      </c>
      <c r="O95" s="616" t="e">
        <v>#REF!</v>
      </c>
      <c r="P95" s="616" t="e">
        <v>#REF!</v>
      </c>
      <c r="Q95" s="616" t="e">
        <v>#REF!</v>
      </c>
      <c r="R95" s="616">
        <v>342317</v>
      </c>
      <c r="S95" s="616">
        <v>357804</v>
      </c>
      <c r="T95" s="616">
        <v>259000</v>
      </c>
      <c r="U95" s="616">
        <v>260000</v>
      </c>
      <c r="V95" s="616">
        <v>285000</v>
      </c>
      <c r="W95" s="616">
        <v>273000</v>
      </c>
      <c r="X95" s="616">
        <v>345000</v>
      </c>
      <c r="Y95" s="616">
        <v>168000</v>
      </c>
      <c r="Z95" s="616">
        <v>171000</v>
      </c>
      <c r="AA95" s="616">
        <v>180000</v>
      </c>
      <c r="AB95" s="616">
        <v>199000</v>
      </c>
    </row>
    <row r="96" spans="1:29">
      <c r="A96" s="616"/>
      <c r="B96" s="613" t="s">
        <v>159</v>
      </c>
      <c r="C96" s="616"/>
      <c r="D96" s="34"/>
      <c r="E96" s="34"/>
      <c r="F96" s="702">
        <v>204946</v>
      </c>
      <c r="G96" s="702">
        <v>119014</v>
      </c>
      <c r="H96" s="702">
        <v>212544</v>
      </c>
      <c r="I96" s="702">
        <v>52823</v>
      </c>
      <c r="J96" s="702">
        <v>118126</v>
      </c>
      <c r="K96" s="702">
        <v>215374</v>
      </c>
      <c r="L96" s="702">
        <v>93643</v>
      </c>
      <c r="M96" s="702">
        <v>94869</v>
      </c>
      <c r="N96" s="702">
        <v>94932</v>
      </c>
      <c r="O96" s="702">
        <v>309589</v>
      </c>
      <c r="P96" s="702">
        <v>677980</v>
      </c>
      <c r="Q96" s="702">
        <v>283522</v>
      </c>
      <c r="R96" s="702">
        <v>509774</v>
      </c>
      <c r="S96" s="702">
        <v>851620</v>
      </c>
      <c r="T96" s="702">
        <v>868000</v>
      </c>
      <c r="U96" s="702">
        <v>380000</v>
      </c>
      <c r="V96" s="702">
        <v>318000</v>
      </c>
      <c r="W96" s="702">
        <v>216000</v>
      </c>
      <c r="X96" s="702">
        <v>221000</v>
      </c>
      <c r="Y96" s="702">
        <v>151000</v>
      </c>
      <c r="Z96" s="702">
        <v>156000</v>
      </c>
      <c r="AA96" s="702">
        <v>197000</v>
      </c>
      <c r="AB96" s="702">
        <v>267000</v>
      </c>
    </row>
    <row r="97" spans="1:28">
      <c r="A97" s="616"/>
      <c r="B97" s="613" t="s">
        <v>219</v>
      </c>
      <c r="C97" s="616"/>
      <c r="D97" s="34"/>
      <c r="E97" s="34"/>
      <c r="F97" s="616" t="e">
        <v>#REF!</v>
      </c>
      <c r="G97" s="616" t="e">
        <v>#REF!</v>
      </c>
      <c r="H97" s="616" t="e">
        <v>#REF!</v>
      </c>
      <c r="I97" s="616" t="e">
        <v>#REF!</v>
      </c>
      <c r="J97" s="616" t="e">
        <v>#REF!</v>
      </c>
      <c r="K97" s="616" t="e">
        <v>#REF!</v>
      </c>
      <c r="L97" s="616" t="e">
        <v>#REF!</v>
      </c>
      <c r="M97" s="616" t="e">
        <v>#REF!</v>
      </c>
      <c r="N97" s="616" t="e">
        <v>#REF!</v>
      </c>
      <c r="O97" s="616" t="e">
        <v>#REF!</v>
      </c>
      <c r="P97" s="616" t="e">
        <v>#REF!</v>
      </c>
      <c r="Q97" s="616" t="e">
        <v>#REF!</v>
      </c>
      <c r="R97" s="616">
        <v>5791674</v>
      </c>
      <c r="S97" s="616">
        <v>6268968</v>
      </c>
      <c r="T97" s="616">
        <v>6427000</v>
      </c>
      <c r="U97" s="616">
        <v>6606000</v>
      </c>
      <c r="V97" s="616">
        <v>6679000</v>
      </c>
      <c r="W97" s="616">
        <v>6172000</v>
      </c>
      <c r="X97" s="616">
        <v>6274000</v>
      </c>
      <c r="Y97" s="616">
        <v>5912000</v>
      </c>
      <c r="Z97" s="616">
        <v>5954000</v>
      </c>
      <c r="AA97" s="616">
        <v>6035000</v>
      </c>
      <c r="AB97" s="616">
        <v>6184000</v>
      </c>
    </row>
    <row r="98" spans="1:28">
      <c r="A98" s="616"/>
      <c r="B98" s="613"/>
      <c r="C98" s="616"/>
      <c r="D98" s="34"/>
      <c r="E98" s="34"/>
      <c r="F98" s="616"/>
      <c r="G98" s="616"/>
      <c r="H98" s="616"/>
      <c r="I98" s="616"/>
      <c r="J98" s="616"/>
      <c r="K98" s="616"/>
      <c r="L98" s="616"/>
      <c r="M98" s="616"/>
      <c r="N98" s="616"/>
      <c r="O98" s="616"/>
      <c r="P98" s="616"/>
      <c r="Q98" s="616"/>
      <c r="R98" s="616"/>
      <c r="S98" s="616"/>
      <c r="T98" s="616"/>
      <c r="U98" s="616"/>
      <c r="V98" s="616"/>
      <c r="W98" s="616"/>
      <c r="X98" s="616"/>
      <c r="Y98" s="616"/>
      <c r="Z98" s="616"/>
      <c r="AA98" s="616"/>
      <c r="AB98" s="616"/>
    </row>
    <row r="99" spans="1:28">
      <c r="A99" s="616"/>
      <c r="B99" s="613" t="s">
        <v>220</v>
      </c>
      <c r="C99" s="616"/>
      <c r="D99" s="34"/>
      <c r="E99" s="34"/>
      <c r="F99" s="616"/>
      <c r="G99" s="616"/>
      <c r="H99" s="616"/>
      <c r="I99" s="616"/>
      <c r="J99" s="616"/>
      <c r="K99" s="616"/>
      <c r="L99" s="616"/>
      <c r="M99" s="616"/>
      <c r="N99" s="616"/>
      <c r="O99" s="616"/>
      <c r="P99" s="616"/>
      <c r="Q99" s="616"/>
      <c r="R99" s="616">
        <v>5738620</v>
      </c>
      <c r="S99" s="616">
        <v>6212650</v>
      </c>
      <c r="T99" s="616">
        <v>6399000</v>
      </c>
      <c r="U99" s="616">
        <v>6579000</v>
      </c>
      <c r="V99" s="616">
        <v>6646000</v>
      </c>
      <c r="W99" s="616">
        <v>6142000</v>
      </c>
      <c r="X99" s="616">
        <v>6244000</v>
      </c>
      <c r="Y99" s="616">
        <v>5890000</v>
      </c>
      <c r="Z99" s="616">
        <v>5954000</v>
      </c>
      <c r="AA99" s="616">
        <v>6035000</v>
      </c>
      <c r="AB99" s="616">
        <v>6184000</v>
      </c>
    </row>
    <row r="100" spans="1:28">
      <c r="A100" s="616"/>
      <c r="B100" s="34" t="s">
        <v>221</v>
      </c>
      <c r="C100" s="616"/>
      <c r="D100" s="34"/>
      <c r="E100" s="34"/>
      <c r="F100" s="34"/>
      <c r="G100" s="34"/>
      <c r="H100" s="34"/>
      <c r="I100" s="34"/>
      <c r="J100" s="34"/>
      <c r="K100" s="34"/>
      <c r="L100" s="34"/>
      <c r="M100" s="34"/>
      <c r="N100" s="34"/>
      <c r="O100" s="34"/>
      <c r="P100" s="34"/>
      <c r="Q100" s="34"/>
      <c r="R100" s="34"/>
      <c r="S100" s="34"/>
      <c r="T100" s="34"/>
      <c r="U100" s="1111"/>
      <c r="V100" s="1111"/>
      <c r="W100" s="34"/>
      <c r="X100" s="1111"/>
      <c r="Y100" s="34"/>
      <c r="Z100" s="34"/>
      <c r="AA100" s="34"/>
      <c r="AB100" s="34"/>
    </row>
    <row r="101" spans="1:28">
      <c r="A101" s="616"/>
      <c r="B101" s="34"/>
      <c r="C101" s="616" t="s">
        <v>1378</v>
      </c>
      <c r="D101" s="34"/>
      <c r="E101" s="34"/>
      <c r="F101" s="616">
        <v>-13424</v>
      </c>
      <c r="G101" s="616">
        <v>-57731</v>
      </c>
      <c r="H101" s="616">
        <v>-118744</v>
      </c>
      <c r="I101" s="616">
        <v>-154202</v>
      </c>
      <c r="J101" s="616">
        <v>-8228</v>
      </c>
      <c r="K101" s="616">
        <v>-72988</v>
      </c>
      <c r="L101" s="616">
        <v>-148127</v>
      </c>
      <c r="M101" s="616">
        <v>0</v>
      </c>
      <c r="N101" s="616">
        <v>0</v>
      </c>
      <c r="O101" s="616">
        <v>-129256</v>
      </c>
      <c r="P101" s="616">
        <v>-260394</v>
      </c>
      <c r="Q101" s="616">
        <v>-2302</v>
      </c>
      <c r="R101" s="616">
        <v>-798676</v>
      </c>
      <c r="S101" s="616">
        <v>-910787</v>
      </c>
      <c r="T101" s="616">
        <v>-1103000</v>
      </c>
      <c r="U101" s="616">
        <v>-1257000</v>
      </c>
      <c r="V101" s="616">
        <v>-1421000</v>
      </c>
      <c r="W101" s="616">
        <v>-1297000</v>
      </c>
      <c r="X101" s="616">
        <v>-1452000</v>
      </c>
      <c r="Y101" s="616">
        <v>-1539000</v>
      </c>
      <c r="Z101" s="616">
        <v>-1699000</v>
      </c>
      <c r="AA101" s="616">
        <v>-1873000</v>
      </c>
      <c r="AB101" s="616">
        <v>-2073000</v>
      </c>
    </row>
    <row r="102" spans="1:28">
      <c r="A102" s="616"/>
      <c r="B102" s="34"/>
      <c r="C102" s="616" t="s">
        <v>222</v>
      </c>
      <c r="D102" s="34"/>
      <c r="E102" s="34"/>
      <c r="F102" s="702" t="e">
        <v>#REF!</v>
      </c>
      <c r="G102" s="702" t="e">
        <v>#REF!</v>
      </c>
      <c r="H102" s="702" t="e">
        <v>#REF!</v>
      </c>
      <c r="I102" s="702" t="e">
        <v>#REF!</v>
      </c>
      <c r="J102" s="702" t="e">
        <v>#REF!</v>
      </c>
      <c r="K102" s="702" t="e">
        <v>#REF!</v>
      </c>
      <c r="L102" s="702" t="e">
        <v>#REF!</v>
      </c>
      <c r="M102" s="702" t="e">
        <v>#REF!</v>
      </c>
      <c r="N102" s="702" t="e">
        <v>#REF!</v>
      </c>
      <c r="O102" s="702" t="e">
        <v>#REF!</v>
      </c>
      <c r="P102" s="702" t="e">
        <v>#REF!</v>
      </c>
      <c r="Q102" s="702" t="e">
        <v>#REF!</v>
      </c>
      <c r="R102" s="702">
        <v>-179379</v>
      </c>
      <c r="S102" s="702">
        <v>-194582</v>
      </c>
      <c r="T102" s="702">
        <v>-156000</v>
      </c>
      <c r="U102" s="702">
        <v>-169000</v>
      </c>
      <c r="V102" s="702">
        <v>-180000</v>
      </c>
      <c r="W102" s="702">
        <v>-176000</v>
      </c>
      <c r="X102" s="702">
        <v>-211000</v>
      </c>
      <c r="Y102" s="702">
        <v>-120000</v>
      </c>
      <c r="Z102" s="702">
        <v>-129000</v>
      </c>
      <c r="AA102" s="702">
        <v>-136000</v>
      </c>
      <c r="AB102" s="702">
        <v>-150000</v>
      </c>
    </row>
    <row r="103" spans="1:28">
      <c r="A103" s="616"/>
      <c r="B103" s="616" t="s">
        <v>223</v>
      </c>
      <c r="D103" s="34"/>
      <c r="E103" s="34"/>
      <c r="F103" s="616" t="e">
        <v>#REF!</v>
      </c>
      <c r="G103" s="616" t="e">
        <v>#REF!</v>
      </c>
      <c r="H103" s="616" t="e">
        <v>#REF!</v>
      </c>
      <c r="I103" s="616" t="e">
        <v>#REF!</v>
      </c>
      <c r="J103" s="616" t="e">
        <v>#REF!</v>
      </c>
      <c r="K103" s="616" t="e">
        <v>#REF!</v>
      </c>
      <c r="L103" s="616" t="e">
        <v>#REF!</v>
      </c>
      <c r="M103" s="616" t="e">
        <v>#REF!</v>
      </c>
      <c r="N103" s="616" t="e">
        <v>#REF!</v>
      </c>
      <c r="O103" s="616" t="e">
        <v>#REF!</v>
      </c>
      <c r="P103" s="616" t="e">
        <v>#REF!</v>
      </c>
      <c r="Q103" s="616" t="e">
        <v>#REF!</v>
      </c>
      <c r="R103" s="616">
        <v>-978055</v>
      </c>
      <c r="S103" s="616">
        <v>-1105369</v>
      </c>
      <c r="T103" s="616">
        <v>-1259000</v>
      </c>
      <c r="U103" s="616">
        <v>-1426000</v>
      </c>
      <c r="V103" s="616">
        <v>-1601000</v>
      </c>
      <c r="W103" s="616">
        <v>-1473000</v>
      </c>
      <c r="X103" s="616">
        <v>-1663000</v>
      </c>
      <c r="Y103" s="616">
        <v>-1659000</v>
      </c>
      <c r="Z103" s="616">
        <v>-1828000</v>
      </c>
      <c r="AA103" s="616">
        <v>-2009000</v>
      </c>
      <c r="AB103" s="616">
        <v>-2223000</v>
      </c>
    </row>
    <row r="104" spans="1:28" ht="13.5" thickBot="1">
      <c r="A104" s="616"/>
      <c r="B104" s="613" t="s">
        <v>1335</v>
      </c>
      <c r="C104" s="616"/>
      <c r="D104" s="34"/>
      <c r="E104" s="34"/>
      <c r="F104" s="725" t="e">
        <v>#REF!</v>
      </c>
      <c r="G104" s="725" t="e">
        <v>#REF!</v>
      </c>
      <c r="H104" s="725" t="e">
        <v>#REF!</v>
      </c>
      <c r="I104" s="725" t="e">
        <v>#REF!</v>
      </c>
      <c r="J104" s="725" t="e">
        <v>#REF!</v>
      </c>
      <c r="K104" s="725" t="e">
        <v>#REF!</v>
      </c>
      <c r="L104" s="725" t="e">
        <v>#REF!</v>
      </c>
      <c r="M104" s="725" t="e">
        <v>#REF!</v>
      </c>
      <c r="N104" s="725" t="e">
        <v>#REF!</v>
      </c>
      <c r="O104" s="725" t="e">
        <v>#REF!</v>
      </c>
      <c r="P104" s="725" t="e">
        <v>#REF!</v>
      </c>
      <c r="Q104" s="725" t="e">
        <v>#REF!</v>
      </c>
      <c r="R104" s="725">
        <v>4813619</v>
      </c>
      <c r="S104" s="725">
        <v>5163599</v>
      </c>
      <c r="T104" s="725">
        <v>5168000</v>
      </c>
      <c r="U104" s="725">
        <v>5180000</v>
      </c>
      <c r="V104" s="725">
        <v>5078000</v>
      </c>
      <c r="W104" s="725">
        <v>4699000</v>
      </c>
      <c r="X104" s="725">
        <v>4611000</v>
      </c>
      <c r="Y104" s="725">
        <v>4253000</v>
      </c>
      <c r="Z104" s="725">
        <v>4126000</v>
      </c>
      <c r="AA104" s="725">
        <v>4026000</v>
      </c>
      <c r="AB104" s="725">
        <v>3961000</v>
      </c>
    </row>
    <row r="105" spans="1:28" ht="18.75" thickTop="1">
      <c r="A105" s="616"/>
      <c r="B105" s="613"/>
      <c r="C105" s="616"/>
      <c r="D105" s="34"/>
      <c r="E105" s="34"/>
      <c r="F105" s="616"/>
      <c r="G105" s="616"/>
      <c r="H105" s="616"/>
      <c r="I105" s="616"/>
      <c r="J105" s="616"/>
      <c r="K105" s="616"/>
      <c r="L105" s="616"/>
      <c r="M105" s="616"/>
      <c r="N105" s="616"/>
      <c r="O105" s="616"/>
      <c r="P105" s="616"/>
      <c r="Q105" s="616"/>
      <c r="R105" s="616"/>
      <c r="S105" s="616"/>
      <c r="T105" s="616"/>
      <c r="U105" s="616"/>
      <c r="V105" s="616"/>
      <c r="W105" s="616"/>
      <c r="X105" s="616"/>
      <c r="Y105" s="616"/>
      <c r="Z105" s="616"/>
      <c r="AA105" s="616"/>
      <c r="AB105" s="1084" t="s">
        <v>1461</v>
      </c>
    </row>
    <row r="106" spans="1:28">
      <c r="A106" s="616"/>
      <c r="B106" s="34"/>
      <c r="C106" s="616"/>
      <c r="D106" s="185"/>
      <c r="E106" s="1002"/>
      <c r="F106" s="34">
        <v>0</v>
      </c>
      <c r="G106" s="34">
        <v>1</v>
      </c>
      <c r="H106" s="34">
        <v>2</v>
      </c>
      <c r="I106" s="34">
        <v>3</v>
      </c>
      <c r="J106" s="34">
        <v>4</v>
      </c>
      <c r="K106" s="34">
        <v>5</v>
      </c>
      <c r="L106" s="34">
        <v>6</v>
      </c>
      <c r="M106" s="34">
        <v>7</v>
      </c>
      <c r="N106" s="1276">
        <v>8</v>
      </c>
      <c r="O106" s="34">
        <v>9</v>
      </c>
      <c r="P106" s="34">
        <v>10</v>
      </c>
      <c r="Q106" s="34">
        <v>11</v>
      </c>
      <c r="R106" s="34">
        <v>0</v>
      </c>
      <c r="S106" s="34">
        <v>1</v>
      </c>
      <c r="T106" s="34">
        <v>2</v>
      </c>
      <c r="U106" s="34">
        <v>3</v>
      </c>
      <c r="V106" s="34">
        <v>4</v>
      </c>
      <c r="W106" s="34">
        <v>5</v>
      </c>
      <c r="X106" s="34">
        <v>6</v>
      </c>
      <c r="Y106" s="34">
        <v>7</v>
      </c>
      <c r="Z106" s="34">
        <v>8</v>
      </c>
      <c r="AA106" s="34">
        <v>9</v>
      </c>
      <c r="AB106" s="34">
        <v>10</v>
      </c>
    </row>
    <row r="107" spans="1:28">
      <c r="A107" s="616"/>
      <c r="E107" s="1276" t="s">
        <v>44</v>
      </c>
      <c r="F107" s="740">
        <v>1999</v>
      </c>
      <c r="G107" s="740">
        <v>2000</v>
      </c>
      <c r="H107" s="740">
        <v>2001</v>
      </c>
      <c r="I107" s="740">
        <v>2002</v>
      </c>
      <c r="J107" s="740">
        <v>2003</v>
      </c>
      <c r="K107" s="740">
        <v>2004</v>
      </c>
      <c r="L107" s="740">
        <v>2005</v>
      </c>
      <c r="M107" s="740">
        <v>2006</v>
      </c>
      <c r="N107" s="740">
        <v>2007</v>
      </c>
      <c r="O107" s="740">
        <v>2008</v>
      </c>
      <c r="P107" s="740">
        <v>2009</v>
      </c>
      <c r="Q107" s="740">
        <v>2010</v>
      </c>
      <c r="R107" s="980">
        <v>2011</v>
      </c>
      <c r="S107" s="980">
        <v>2012</v>
      </c>
      <c r="T107" s="980">
        <v>2013</v>
      </c>
      <c r="U107" s="980">
        <v>2014</v>
      </c>
      <c r="V107" s="980">
        <v>2015</v>
      </c>
      <c r="W107" s="980">
        <v>2016</v>
      </c>
      <c r="X107" s="980">
        <v>2017</v>
      </c>
      <c r="Y107" s="980">
        <v>2018</v>
      </c>
      <c r="Z107" s="980">
        <v>2019</v>
      </c>
      <c r="AA107" s="980">
        <v>2020</v>
      </c>
      <c r="AB107" s="980">
        <v>2021</v>
      </c>
    </row>
    <row r="108" spans="1:28">
      <c r="A108" s="616"/>
      <c r="B108" s="1134" t="s">
        <v>1350</v>
      </c>
      <c r="C108" s="702"/>
      <c r="D108" s="1135"/>
      <c r="E108" s="1276"/>
      <c r="F108" s="740"/>
      <c r="G108" s="740"/>
      <c r="H108" s="740"/>
      <c r="I108" s="740"/>
      <c r="J108" s="740"/>
      <c r="K108" s="740"/>
      <c r="L108" s="740"/>
      <c r="M108" s="740"/>
      <c r="N108" s="740"/>
      <c r="O108" s="740"/>
      <c r="P108" s="740"/>
      <c r="Q108" s="740"/>
      <c r="R108" s="1127"/>
      <c r="S108" s="1127"/>
      <c r="T108" s="1127"/>
      <c r="U108" s="1127"/>
      <c r="V108" s="1127"/>
      <c r="W108" s="1127"/>
      <c r="X108" s="1127"/>
      <c r="Y108" s="1127"/>
      <c r="Z108" s="1127"/>
      <c r="AA108" s="1127"/>
      <c r="AB108" s="1127"/>
    </row>
    <row r="109" spans="1:28">
      <c r="A109" s="616"/>
      <c r="B109" s="1523" t="s">
        <v>1162</v>
      </c>
      <c r="C109" s="1523"/>
      <c r="D109" s="1523"/>
      <c r="E109" s="1111"/>
      <c r="F109" s="760"/>
      <c r="G109" s="760" t="e">
        <v>#REF!</v>
      </c>
      <c r="H109" s="760" t="e">
        <v>#REF!</v>
      </c>
      <c r="I109" s="760" t="e">
        <v>#REF!</v>
      </c>
      <c r="J109" s="760" t="e">
        <v>#REF!</v>
      </c>
      <c r="K109" s="760" t="e">
        <v>#REF!</v>
      </c>
      <c r="L109" s="760" t="e">
        <v>#REF!</v>
      </c>
      <c r="M109" s="760" t="e">
        <v>#REF!</v>
      </c>
      <c r="N109" s="760" t="e">
        <v>#REF!</v>
      </c>
      <c r="O109" s="760" t="e">
        <v>#REF!</v>
      </c>
      <c r="P109" s="760" t="e">
        <v>#REF!</v>
      </c>
      <c r="Q109" s="760"/>
      <c r="R109" s="760">
        <v>4813619</v>
      </c>
      <c r="S109" s="760">
        <v>5163599</v>
      </c>
      <c r="T109" s="760">
        <v>5168000</v>
      </c>
      <c r="U109" s="760">
        <v>5180000</v>
      </c>
      <c r="V109" s="760">
        <v>5078000</v>
      </c>
      <c r="W109" s="760">
        <v>4699000</v>
      </c>
      <c r="X109" s="760">
        <v>4611000</v>
      </c>
      <c r="Y109" s="760">
        <v>4253000</v>
      </c>
      <c r="Z109" s="760">
        <v>4126000</v>
      </c>
      <c r="AA109" s="760">
        <v>4026000</v>
      </c>
      <c r="AB109" s="760">
        <v>3961000</v>
      </c>
    </row>
    <row r="110" spans="1:28">
      <c r="A110" s="616"/>
      <c r="B110" s="1120" t="s">
        <v>23</v>
      </c>
      <c r="C110" s="616"/>
      <c r="D110" s="1136"/>
      <c r="E110" s="1111"/>
      <c r="F110" s="760"/>
      <c r="G110" s="760"/>
      <c r="H110" s="760"/>
      <c r="I110" s="760"/>
      <c r="J110" s="760"/>
      <c r="K110" s="760"/>
      <c r="L110" s="760"/>
      <c r="M110" s="760"/>
      <c r="N110" s="760"/>
      <c r="O110" s="760"/>
      <c r="P110" s="760"/>
      <c r="Q110" s="760"/>
      <c r="R110" s="631" t="s">
        <v>335</v>
      </c>
      <c r="S110" s="631" t="s">
        <v>335</v>
      </c>
      <c r="T110" s="631" t="s">
        <v>335</v>
      </c>
      <c r="U110" s="631" t="s">
        <v>335</v>
      </c>
      <c r="V110" s="631" t="s">
        <v>335</v>
      </c>
      <c r="W110" s="631" t="s">
        <v>335</v>
      </c>
      <c r="X110" s="631" t="s">
        <v>335</v>
      </c>
      <c r="Y110" s="631" t="s">
        <v>335</v>
      </c>
      <c r="Z110" s="631" t="s">
        <v>335</v>
      </c>
      <c r="AA110" s="631" t="s">
        <v>335</v>
      </c>
      <c r="AB110" s="631" t="s">
        <v>335</v>
      </c>
    </row>
    <row r="111" spans="1:28">
      <c r="A111" s="616"/>
      <c r="B111" s="1120" t="s">
        <v>1276</v>
      </c>
      <c r="C111" s="616"/>
      <c r="D111" s="1136"/>
      <c r="E111" s="1111"/>
      <c r="F111" s="760"/>
      <c r="G111" s="760"/>
      <c r="H111" s="760"/>
      <c r="I111" s="760"/>
      <c r="J111" s="760"/>
      <c r="K111" s="760"/>
      <c r="L111" s="760"/>
      <c r="M111" s="760"/>
      <c r="N111" s="760"/>
      <c r="O111" s="760"/>
      <c r="P111" s="760"/>
      <c r="Q111" s="760"/>
      <c r="R111" s="760">
        <v>4813619</v>
      </c>
      <c r="S111" s="760">
        <v>5163599</v>
      </c>
      <c r="T111" s="760">
        <v>5168000</v>
      </c>
      <c r="U111" s="760">
        <v>5180000</v>
      </c>
      <c r="V111" s="760">
        <v>5078000</v>
      </c>
      <c r="W111" s="760">
        <v>4699000</v>
      </c>
      <c r="X111" s="760">
        <v>4611000</v>
      </c>
      <c r="Y111" s="760">
        <v>4253000</v>
      </c>
      <c r="Z111" s="760">
        <v>4126000</v>
      </c>
      <c r="AA111" s="760">
        <v>4026000</v>
      </c>
      <c r="AB111" s="760">
        <v>3961000</v>
      </c>
    </row>
    <row r="112" spans="1:28">
      <c r="A112" s="616"/>
      <c r="B112" s="1120"/>
      <c r="C112" s="616"/>
      <c r="D112" s="1111"/>
      <c r="E112" s="1111"/>
      <c r="F112" s="760"/>
      <c r="G112" s="760"/>
      <c r="H112" s="760"/>
      <c r="I112" s="760"/>
      <c r="J112" s="760"/>
      <c r="K112" s="760"/>
      <c r="L112" s="760"/>
      <c r="M112" s="760"/>
      <c r="N112" s="760"/>
      <c r="O112" s="760"/>
      <c r="P112" s="760"/>
      <c r="Q112" s="760"/>
      <c r="R112" s="760"/>
      <c r="S112" s="760"/>
      <c r="T112" s="760"/>
      <c r="U112" s="760"/>
      <c r="V112" s="760"/>
      <c r="W112" s="760"/>
      <c r="X112" s="760"/>
      <c r="Y112" s="760"/>
      <c r="Z112" s="760"/>
      <c r="AA112" s="760"/>
      <c r="AB112" s="760"/>
    </row>
    <row r="113" spans="1:28" ht="18">
      <c r="A113" s="616"/>
      <c r="B113" s="1134" t="s">
        <v>1218</v>
      </c>
      <c r="C113" s="702"/>
      <c r="D113" s="1123"/>
      <c r="E113" s="34"/>
      <c r="F113" s="760"/>
      <c r="G113" s="760"/>
      <c r="H113" s="760"/>
      <c r="I113" s="760"/>
      <c r="J113" s="760"/>
      <c r="K113" s="760"/>
      <c r="L113" s="760"/>
      <c r="M113" s="760"/>
      <c r="N113" s="760"/>
      <c r="O113" s="760"/>
      <c r="P113" s="760"/>
      <c r="Q113" s="760"/>
      <c r="R113" s="760"/>
      <c r="S113" s="760"/>
      <c r="T113" s="760"/>
      <c r="U113" s="760"/>
      <c r="V113" s="760"/>
      <c r="W113" s="760"/>
      <c r="X113" s="760"/>
      <c r="Y113" s="760"/>
      <c r="Z113" s="760"/>
      <c r="AA113" s="760"/>
      <c r="AB113" s="1125"/>
    </row>
    <row r="114" spans="1:28">
      <c r="A114" s="616"/>
      <c r="B114" s="1120" t="s">
        <v>1264</v>
      </c>
      <c r="C114" s="616"/>
      <c r="D114" s="1111"/>
      <c r="E114" s="34"/>
      <c r="F114" s="760"/>
      <c r="G114" s="760"/>
      <c r="H114" s="760"/>
      <c r="I114" s="760"/>
      <c r="J114" s="760"/>
      <c r="K114" s="760"/>
      <c r="L114" s="760"/>
      <c r="M114" s="760"/>
      <c r="N114" s="760"/>
      <c r="O114" s="760"/>
      <c r="P114" s="760">
        <v>-131157</v>
      </c>
      <c r="Q114" s="760">
        <v>-150756</v>
      </c>
      <c r="R114" s="760">
        <v>-140503</v>
      </c>
      <c r="S114" s="760">
        <v>-162000</v>
      </c>
      <c r="T114" s="760">
        <v>-162000</v>
      </c>
      <c r="U114" s="760">
        <v>-161000</v>
      </c>
      <c r="V114" s="760">
        <v>-166000</v>
      </c>
      <c r="W114" s="760">
        <v>-161000</v>
      </c>
      <c r="X114" s="760">
        <v>-158000</v>
      </c>
      <c r="Y114" s="760">
        <v>-167000</v>
      </c>
      <c r="Z114" s="760">
        <v>-160000</v>
      </c>
      <c r="AA114" s="760">
        <v>-177000</v>
      </c>
      <c r="AB114" s="760">
        <v>-200000</v>
      </c>
    </row>
    <row r="115" spans="1:28">
      <c r="A115" s="616"/>
      <c r="B115" s="1120" t="s">
        <v>1381</v>
      </c>
      <c r="C115" s="616"/>
      <c r="D115" s="1111"/>
      <c r="E115" s="34"/>
      <c r="F115" s="760"/>
      <c r="G115" s="760"/>
      <c r="H115" s="760"/>
      <c r="I115" s="760"/>
      <c r="J115" s="760"/>
      <c r="K115" s="760"/>
      <c r="L115" s="760"/>
      <c r="M115" s="760"/>
      <c r="N115" s="760"/>
      <c r="O115" s="760"/>
      <c r="P115" s="760"/>
      <c r="Q115" s="760"/>
      <c r="R115" s="760"/>
      <c r="S115" s="760"/>
      <c r="T115" s="760"/>
      <c r="U115" s="760"/>
      <c r="V115" s="760">
        <v>0</v>
      </c>
      <c r="W115" s="760">
        <v>-250000</v>
      </c>
      <c r="X115" s="760"/>
      <c r="Y115" s="760"/>
      <c r="Z115" s="760"/>
      <c r="AA115" s="760"/>
      <c r="AB115" s="760"/>
    </row>
    <row r="116" spans="1:28">
      <c r="A116" s="616"/>
      <c r="B116" s="1120" t="s">
        <v>1189</v>
      </c>
      <c r="C116" s="616"/>
      <c r="D116" s="1111"/>
      <c r="E116" s="34"/>
      <c r="F116" s="760"/>
      <c r="G116" s="760"/>
      <c r="H116" s="760"/>
      <c r="I116" s="760"/>
      <c r="J116" s="760"/>
      <c r="K116" s="760"/>
      <c r="L116" s="760"/>
      <c r="M116" s="760"/>
      <c r="N116" s="760"/>
      <c r="O116" s="760"/>
      <c r="P116" s="760"/>
      <c r="Q116" s="760"/>
      <c r="R116" s="760">
        <v>-14681</v>
      </c>
      <c r="S116" s="760">
        <v>-15000</v>
      </c>
      <c r="T116" s="760">
        <v>-18000</v>
      </c>
      <c r="U116" s="760">
        <v>-14000</v>
      </c>
      <c r="V116" s="760">
        <v>-12000</v>
      </c>
      <c r="W116" s="760">
        <v>-14000</v>
      </c>
      <c r="X116" s="760">
        <v>-12000</v>
      </c>
      <c r="Y116" s="760">
        <v>-10000</v>
      </c>
      <c r="Z116" s="760">
        <v>-6000</v>
      </c>
      <c r="AA116" s="760">
        <v>-4000</v>
      </c>
      <c r="AB116" s="760">
        <v>-4000</v>
      </c>
    </row>
    <row r="117" spans="1:28">
      <c r="A117" s="616"/>
      <c r="B117" s="1120" t="s">
        <v>1163</v>
      </c>
      <c r="C117" s="616"/>
      <c r="D117" s="1111"/>
      <c r="E117" s="34"/>
      <c r="F117" s="760"/>
      <c r="G117" s="760"/>
      <c r="H117" s="760"/>
      <c r="I117" s="760"/>
      <c r="J117" s="760"/>
      <c r="K117" s="760"/>
      <c r="L117" s="760"/>
      <c r="M117" s="760"/>
      <c r="N117" s="760"/>
      <c r="O117" s="760"/>
      <c r="P117" s="760"/>
      <c r="Q117" s="760"/>
      <c r="R117" s="760"/>
      <c r="S117" s="760"/>
      <c r="T117" s="760"/>
      <c r="U117" s="760"/>
      <c r="V117" s="760"/>
      <c r="W117" s="760"/>
      <c r="X117" s="760"/>
      <c r="Y117" s="760"/>
      <c r="Z117" s="760">
        <v>-3000</v>
      </c>
      <c r="AA117" s="760">
        <v>-3000</v>
      </c>
      <c r="AB117" s="760">
        <v>-4000</v>
      </c>
    </row>
    <row r="118" spans="1:28">
      <c r="A118" s="616"/>
      <c r="B118" s="1120" t="s">
        <v>1333</v>
      </c>
      <c r="C118" s="616"/>
      <c r="D118" s="1111"/>
      <c r="E118" s="34"/>
      <c r="F118" s="760"/>
      <c r="G118" s="760"/>
      <c r="H118" s="760"/>
      <c r="I118" s="760"/>
      <c r="J118" s="760"/>
      <c r="K118" s="760"/>
      <c r="L118" s="760"/>
      <c r="M118" s="760"/>
      <c r="N118" s="760"/>
      <c r="O118" s="760"/>
      <c r="P118" s="760"/>
      <c r="Q118" s="760"/>
      <c r="R118" s="699"/>
      <c r="S118" s="699">
        <v>-4000</v>
      </c>
      <c r="T118" s="699">
        <v>-69000</v>
      </c>
      <c r="U118" s="699"/>
      <c r="V118" s="699"/>
      <c r="W118" s="699">
        <v>-37000</v>
      </c>
      <c r="X118" s="699"/>
      <c r="Y118" s="699"/>
      <c r="Z118" s="699"/>
      <c r="AA118" s="699"/>
      <c r="AB118" s="699"/>
    </row>
    <row r="119" spans="1:28">
      <c r="A119" s="616"/>
      <c r="B119" s="1524" t="s">
        <v>1352</v>
      </c>
      <c r="C119" s="1524"/>
      <c r="D119" s="1524"/>
      <c r="E119" s="34"/>
      <c r="F119" s="760"/>
      <c r="G119" s="760"/>
      <c r="H119" s="760"/>
      <c r="I119" s="760"/>
      <c r="J119" s="760"/>
      <c r="K119" s="760"/>
      <c r="L119" s="760"/>
      <c r="M119" s="760"/>
      <c r="N119" s="760"/>
      <c r="O119" s="760"/>
      <c r="P119" s="760"/>
      <c r="Q119" s="760"/>
      <c r="R119" s="760">
        <v>-155184</v>
      </c>
      <c r="S119" s="760">
        <v>-181000</v>
      </c>
      <c r="T119" s="760">
        <v>-249000</v>
      </c>
      <c r="U119" s="760">
        <v>-175000</v>
      </c>
      <c r="V119" s="760">
        <v>-178000</v>
      </c>
      <c r="W119" s="760">
        <v>-462000</v>
      </c>
      <c r="X119" s="760">
        <v>-170000</v>
      </c>
      <c r="Y119" s="760">
        <v>-177000</v>
      </c>
      <c r="Z119" s="760">
        <v>-169000</v>
      </c>
      <c r="AA119" s="760">
        <v>-184000</v>
      </c>
      <c r="AB119" s="760">
        <v>-208000</v>
      </c>
    </row>
    <row r="120" spans="1:28">
      <c r="A120" s="616"/>
      <c r="B120" s="1524" t="s">
        <v>1368</v>
      </c>
      <c r="C120" s="1524"/>
      <c r="D120" s="1524"/>
      <c r="E120" s="34"/>
      <c r="F120" s="760"/>
      <c r="G120" s="760"/>
      <c r="H120" s="760"/>
      <c r="I120" s="760"/>
      <c r="J120" s="760"/>
      <c r="K120" s="760"/>
      <c r="L120" s="760"/>
      <c r="M120" s="760"/>
      <c r="N120" s="760"/>
      <c r="O120" s="760"/>
      <c r="P120" s="760"/>
      <c r="Q120" s="760"/>
      <c r="R120" s="699"/>
      <c r="S120" s="699">
        <v>-4000</v>
      </c>
      <c r="T120" s="699">
        <v>-69000</v>
      </c>
      <c r="U120" s="699">
        <v>0</v>
      </c>
      <c r="V120" s="699">
        <v>0</v>
      </c>
      <c r="W120" s="699">
        <v>-287000</v>
      </c>
      <c r="X120" s="699">
        <v>0</v>
      </c>
      <c r="Y120" s="699">
        <v>0</v>
      </c>
      <c r="Z120" s="699">
        <v>0</v>
      </c>
      <c r="AA120" s="699">
        <v>0</v>
      </c>
      <c r="AB120" s="699">
        <v>0</v>
      </c>
    </row>
    <row r="121" spans="1:28">
      <c r="A121" s="616"/>
      <c r="B121" s="1524" t="s">
        <v>1388</v>
      </c>
      <c r="C121" s="1524"/>
      <c r="D121" s="1524"/>
      <c r="E121" s="34"/>
      <c r="F121" s="760"/>
      <c r="G121" s="760"/>
      <c r="H121" s="760"/>
      <c r="I121" s="760"/>
      <c r="J121" s="760"/>
      <c r="K121" s="760"/>
      <c r="L121" s="760"/>
      <c r="M121" s="760"/>
      <c r="N121" s="760"/>
      <c r="O121" s="760"/>
      <c r="P121" s="760"/>
      <c r="Q121" s="760"/>
      <c r="R121" s="760"/>
      <c r="S121" s="760">
        <v>-177000</v>
      </c>
      <c r="T121" s="760">
        <v>-180000</v>
      </c>
      <c r="U121" s="760">
        <v>-175000</v>
      </c>
      <c r="V121" s="760">
        <v>-178000</v>
      </c>
      <c r="W121" s="760">
        <v>-175000</v>
      </c>
      <c r="X121" s="760">
        <v>-170000</v>
      </c>
      <c r="Y121" s="760">
        <v>-177000</v>
      </c>
      <c r="Z121" s="760">
        <v>-169000</v>
      </c>
      <c r="AA121" s="760">
        <v>-184000</v>
      </c>
      <c r="AB121" s="760">
        <v>-208000</v>
      </c>
    </row>
    <row r="122" spans="1:28">
      <c r="A122" s="616"/>
      <c r="B122" s="1509"/>
      <c r="C122" s="1509"/>
      <c r="D122" s="1509"/>
      <c r="E122" s="34"/>
      <c r="F122" s="760"/>
      <c r="G122" s="760"/>
      <c r="H122" s="760"/>
      <c r="I122" s="760"/>
      <c r="J122" s="760"/>
      <c r="K122" s="760"/>
      <c r="L122" s="760"/>
      <c r="M122" s="760"/>
      <c r="N122" s="760"/>
      <c r="O122" s="760"/>
      <c r="P122" s="760"/>
      <c r="Q122" s="760"/>
      <c r="R122" s="760"/>
      <c r="S122" s="760"/>
      <c r="T122" s="760"/>
      <c r="U122" s="760"/>
      <c r="V122" s="760"/>
      <c r="W122" s="760"/>
      <c r="X122" s="760"/>
      <c r="Y122" s="760"/>
      <c r="Z122" s="760"/>
      <c r="AA122" s="760"/>
      <c r="AB122" s="760"/>
    </row>
    <row r="123" spans="1:28">
      <c r="A123" s="616"/>
      <c r="B123" s="1375" t="s">
        <v>1382</v>
      </c>
      <c r="C123" s="1375"/>
      <c r="D123" s="1375"/>
      <c r="E123" s="34"/>
      <c r="F123" s="760"/>
      <c r="G123" s="760"/>
      <c r="H123" s="760"/>
      <c r="I123" s="760"/>
      <c r="J123" s="760"/>
      <c r="K123" s="760"/>
      <c r="L123" s="760"/>
      <c r="M123" s="760"/>
      <c r="N123" s="760"/>
      <c r="O123" s="760"/>
      <c r="P123" s="760"/>
      <c r="Q123" s="760"/>
      <c r="R123" s="760"/>
      <c r="S123" s="760"/>
      <c r="T123" s="760"/>
      <c r="U123" s="760"/>
      <c r="V123" s="760"/>
      <c r="W123" s="760"/>
      <c r="X123" s="760"/>
      <c r="Y123" s="760"/>
      <c r="Z123" s="760"/>
      <c r="AA123" s="760"/>
      <c r="AB123" s="760"/>
    </row>
    <row r="124" spans="1:28">
      <c r="B124" s="1509" t="s">
        <v>1369</v>
      </c>
      <c r="C124" s="1509"/>
      <c r="D124" s="1509"/>
      <c r="E124" s="733"/>
      <c r="F124" s="729"/>
      <c r="G124" s="729"/>
      <c r="H124" s="729"/>
      <c r="I124" s="729"/>
      <c r="J124" s="729"/>
      <c r="K124" s="729"/>
      <c r="L124" s="616"/>
      <c r="M124" s="616"/>
      <c r="N124" s="616"/>
      <c r="O124" s="616"/>
      <c r="P124" s="616"/>
      <c r="Q124" s="616"/>
      <c r="R124" s="760">
        <v>-155184</v>
      </c>
      <c r="S124" s="760">
        <v>-177000</v>
      </c>
      <c r="T124" s="760">
        <v>-180000</v>
      </c>
      <c r="U124" s="760">
        <v>-175000</v>
      </c>
      <c r="V124" s="760">
        <v>-178000</v>
      </c>
      <c r="W124" s="760">
        <v>-175000</v>
      </c>
      <c r="X124" s="760">
        <v>-170000</v>
      </c>
      <c r="Y124" s="760">
        <v>-177000</v>
      </c>
      <c r="Z124" s="760">
        <v>-169000</v>
      </c>
      <c r="AA124" s="760">
        <v>-184000</v>
      </c>
      <c r="AB124" s="760">
        <v>-208000</v>
      </c>
    </row>
    <row r="125" spans="1:28">
      <c r="B125" s="1509" t="s">
        <v>1389</v>
      </c>
      <c r="C125" s="1509"/>
      <c r="D125" s="1509"/>
      <c r="E125" s="733"/>
      <c r="F125" s="729"/>
      <c r="G125" s="729"/>
      <c r="H125" s="729"/>
      <c r="I125" s="729"/>
      <c r="J125" s="729"/>
      <c r="K125" s="729"/>
      <c r="L125" s="616"/>
      <c r="M125" s="616"/>
      <c r="N125" s="616"/>
      <c r="O125" s="616"/>
      <c r="P125" s="616"/>
      <c r="Q125" s="616"/>
      <c r="R125" s="699"/>
      <c r="S125" s="699">
        <v>-193000</v>
      </c>
      <c r="T125" s="699">
        <v>-195000</v>
      </c>
      <c r="U125" s="699">
        <v>-190000</v>
      </c>
      <c r="V125" s="699">
        <v>-204000</v>
      </c>
      <c r="W125" s="699">
        <v>-203000</v>
      </c>
      <c r="X125" s="699">
        <v>-203000</v>
      </c>
      <c r="Y125" s="699">
        <v>-215000</v>
      </c>
      <c r="Z125" s="699">
        <v>-205000</v>
      </c>
      <c r="AA125" s="699">
        <v>-220000</v>
      </c>
      <c r="AB125" s="699">
        <v>-249000</v>
      </c>
    </row>
    <row r="126" spans="1:28">
      <c r="B126" s="1509" t="s">
        <v>127</v>
      </c>
      <c r="C126" s="1509"/>
      <c r="D126" s="1509"/>
      <c r="E126" s="733"/>
      <c r="F126" s="729"/>
      <c r="G126" s="729"/>
      <c r="H126" s="729"/>
      <c r="I126" s="729"/>
      <c r="J126" s="729"/>
      <c r="K126" s="729"/>
      <c r="L126" s="616"/>
      <c r="M126" s="616"/>
      <c r="N126" s="616"/>
      <c r="O126" s="616"/>
      <c r="P126" s="616"/>
      <c r="Q126" s="616"/>
      <c r="R126" s="760"/>
      <c r="S126" s="760">
        <v>-16000</v>
      </c>
      <c r="T126" s="760">
        <v>-15000</v>
      </c>
      <c r="U126" s="760">
        <v>-15000</v>
      </c>
      <c r="V126" s="760">
        <v>-26000</v>
      </c>
      <c r="W126" s="760">
        <v>-30000</v>
      </c>
      <c r="X126" s="760">
        <v>-33000</v>
      </c>
      <c r="Y126" s="760">
        <v>-38000</v>
      </c>
      <c r="Z126" s="760">
        <v>-36000</v>
      </c>
      <c r="AA126" s="760">
        <v>-36000</v>
      </c>
      <c r="AB126" s="760">
        <v>-41000</v>
      </c>
    </row>
    <row r="127" spans="1:28">
      <c r="B127" s="1361" t="s">
        <v>1383</v>
      </c>
      <c r="C127" s="1509"/>
      <c r="D127" s="1509"/>
      <c r="E127" s="733"/>
      <c r="F127" s="729"/>
      <c r="G127" s="729"/>
      <c r="H127" s="729"/>
      <c r="I127" s="729"/>
      <c r="J127" s="729"/>
      <c r="K127" s="729"/>
      <c r="L127" s="616"/>
      <c r="M127" s="616"/>
      <c r="N127" s="616"/>
      <c r="O127" s="616"/>
      <c r="P127" s="616"/>
      <c r="Q127" s="616"/>
      <c r="R127" s="699"/>
      <c r="S127" s="699">
        <v>-16000</v>
      </c>
      <c r="T127" s="699">
        <v>-15000</v>
      </c>
      <c r="U127" s="699">
        <v>-15000</v>
      </c>
      <c r="V127" s="699">
        <v>-26000</v>
      </c>
      <c r="W127" s="699">
        <v>-28000</v>
      </c>
      <c r="X127" s="699">
        <v>-33000</v>
      </c>
      <c r="Y127" s="699">
        <v>-38000</v>
      </c>
      <c r="Z127" s="699">
        <v>-36000</v>
      </c>
      <c r="AA127" s="699">
        <v>-36000</v>
      </c>
      <c r="AB127" s="699">
        <v>-41000</v>
      </c>
    </row>
    <row r="128" spans="1:28">
      <c r="B128" s="1362"/>
      <c r="C128" s="1509"/>
      <c r="D128" s="1509" t="s">
        <v>93</v>
      </c>
      <c r="E128" s="733"/>
      <c r="F128" s="729"/>
      <c r="G128" s="729"/>
      <c r="H128" s="729"/>
      <c r="I128" s="729"/>
      <c r="J128" s="729"/>
      <c r="K128" s="729"/>
      <c r="L128" s="616"/>
      <c r="M128" s="616"/>
      <c r="N128" s="616"/>
      <c r="O128" s="616"/>
      <c r="P128" s="616"/>
      <c r="Q128" s="616"/>
      <c r="R128" s="1103"/>
      <c r="S128" s="1374">
        <v>0</v>
      </c>
      <c r="T128" s="1374">
        <v>0</v>
      </c>
      <c r="U128" s="1103">
        <v>0</v>
      </c>
      <c r="V128" s="1103">
        <v>0</v>
      </c>
      <c r="W128" s="1360">
        <v>-2000</v>
      </c>
      <c r="X128" s="1103">
        <v>0</v>
      </c>
      <c r="Y128" s="1103">
        <v>0</v>
      </c>
      <c r="Z128" s="1103">
        <v>0</v>
      </c>
      <c r="AA128" s="1103">
        <v>0</v>
      </c>
      <c r="AB128" s="1103">
        <v>0</v>
      </c>
    </row>
    <row r="129" spans="1:31">
      <c r="B129" s="1107"/>
      <c r="C129" s="1107"/>
      <c r="D129" s="1107"/>
      <c r="E129" s="733"/>
      <c r="F129" s="729"/>
      <c r="G129" s="729"/>
      <c r="H129" s="729"/>
      <c r="I129" s="729"/>
      <c r="J129" s="729"/>
      <c r="K129" s="729"/>
      <c r="L129" s="616"/>
      <c r="M129" s="616"/>
      <c r="N129" s="616"/>
      <c r="O129" s="616"/>
      <c r="P129" s="616"/>
      <c r="Q129" s="616"/>
      <c r="R129" s="760"/>
      <c r="S129" s="760"/>
      <c r="T129" s="760"/>
      <c r="U129" s="760"/>
      <c r="V129" s="760"/>
      <c r="W129" s="760" t="s">
        <v>1384</v>
      </c>
      <c r="X129" s="760"/>
      <c r="Y129" s="760"/>
      <c r="Z129" s="760"/>
      <c r="AA129" s="760"/>
      <c r="AB129" s="760"/>
    </row>
    <row r="130" spans="1:31">
      <c r="A130" s="729"/>
      <c r="B130" s="721" t="s">
        <v>1351</v>
      </c>
      <c r="C130" s="43"/>
      <c r="D130" s="730"/>
      <c r="E130" s="616"/>
      <c r="F130" s="729"/>
      <c r="G130" s="729"/>
      <c r="H130" s="729"/>
      <c r="I130" s="729"/>
      <c r="J130" s="729"/>
      <c r="K130" s="729"/>
      <c r="L130" s="616"/>
      <c r="M130" s="616"/>
      <c r="N130" s="616"/>
      <c r="O130" s="616"/>
      <c r="P130" s="616"/>
      <c r="Q130" s="616"/>
      <c r="R130" s="1519" t="s">
        <v>335</v>
      </c>
      <c r="S130" s="1520"/>
      <c r="T130" s="1520"/>
      <c r="U130" s="1521"/>
      <c r="V130" s="760">
        <v>63000</v>
      </c>
      <c r="W130" s="760">
        <v>87000</v>
      </c>
      <c r="X130" s="760">
        <v>110000</v>
      </c>
      <c r="Y130" s="760">
        <v>78000</v>
      </c>
      <c r="Z130" s="760">
        <v>60000</v>
      </c>
      <c r="AA130" s="760">
        <v>51000</v>
      </c>
      <c r="AB130" s="760">
        <v>61000</v>
      </c>
    </row>
    <row r="131" spans="1:31">
      <c r="B131" s="1107"/>
      <c r="C131" s="1107"/>
      <c r="D131" s="1107"/>
      <c r="E131" s="733"/>
      <c r="F131" s="729"/>
      <c r="G131" s="729"/>
      <c r="H131" s="729"/>
      <c r="I131" s="729"/>
      <c r="J131" s="729"/>
      <c r="K131" s="729"/>
      <c r="L131" s="616"/>
      <c r="M131" s="616"/>
      <c r="N131" s="616"/>
      <c r="O131" s="616"/>
      <c r="P131" s="616"/>
      <c r="Q131" s="616"/>
      <c r="R131" s="760"/>
      <c r="S131" s="760"/>
      <c r="T131" s="760"/>
      <c r="U131" s="760"/>
      <c r="V131" s="760"/>
      <c r="W131" s="760"/>
      <c r="X131" s="760"/>
      <c r="Y131" s="760"/>
      <c r="Z131" s="760"/>
      <c r="AA131" s="760"/>
      <c r="AB131" s="760"/>
    </row>
    <row r="132" spans="1:31">
      <c r="B132" s="1134" t="s">
        <v>1282</v>
      </c>
      <c r="C132" s="1376"/>
      <c r="D132" s="1376"/>
      <c r="E132" s="1329"/>
      <c r="F132" s="1116"/>
      <c r="G132" s="1116"/>
      <c r="H132" s="1116"/>
      <c r="I132" s="1116"/>
      <c r="J132" s="1116"/>
      <c r="K132" s="1116"/>
      <c r="L132" s="1116"/>
      <c r="M132" s="1116"/>
      <c r="N132" s="1116"/>
      <c r="O132" s="1116"/>
      <c r="P132" s="1116"/>
      <c r="Q132" s="1116"/>
      <c r="R132" s="1116"/>
      <c r="S132" s="1127"/>
      <c r="T132" s="1127"/>
      <c r="U132" s="1127"/>
      <c r="V132" s="1127"/>
      <c r="W132" s="1127"/>
      <c r="X132" s="1127"/>
      <c r="Y132" s="1116"/>
      <c r="Z132" s="1116"/>
      <c r="AA132" s="1116"/>
      <c r="AB132" s="1116"/>
      <c r="AC132" s="1116"/>
    </row>
    <row r="133" spans="1:31">
      <c r="B133" s="1107" t="s">
        <v>1272</v>
      </c>
      <c r="C133" s="1183"/>
      <c r="D133" s="1183"/>
      <c r="E133" s="1183"/>
      <c r="F133" s="1116"/>
      <c r="G133" s="1116"/>
      <c r="H133" s="1116"/>
      <c r="I133" s="1116"/>
      <c r="J133" s="1116"/>
      <c r="K133" s="1116"/>
      <c r="L133" s="1116"/>
      <c r="M133" s="1116"/>
      <c r="N133" s="1116"/>
      <c r="O133" s="1116"/>
      <c r="P133" s="1116"/>
      <c r="Q133" s="1116"/>
      <c r="R133" s="1116"/>
      <c r="S133" s="1149">
        <v>1776682</v>
      </c>
      <c r="T133" s="1149">
        <v>1795392</v>
      </c>
      <c r="U133" s="1149">
        <v>1587199</v>
      </c>
      <c r="V133" s="1149">
        <v>1641624</v>
      </c>
      <c r="W133" s="1149">
        <v>1685124</v>
      </c>
      <c r="X133" s="1151" t="s">
        <v>335</v>
      </c>
      <c r="Y133" s="1151" t="s">
        <v>335</v>
      </c>
      <c r="Z133" s="1151" t="s">
        <v>335</v>
      </c>
      <c r="AA133" s="1151" t="s">
        <v>335</v>
      </c>
      <c r="AB133" s="1151" t="s">
        <v>335</v>
      </c>
      <c r="AC133" s="1151"/>
    </row>
    <row r="134" spans="1:31">
      <c r="B134" s="1107" t="s">
        <v>1252</v>
      </c>
      <c r="C134" s="1183"/>
      <c r="D134" s="1183"/>
      <c r="E134" s="1183"/>
      <c r="F134" s="1116"/>
      <c r="G134" s="1116"/>
      <c r="H134" s="1116"/>
      <c r="I134" s="1116"/>
      <c r="J134" s="1116"/>
      <c r="K134" s="1116"/>
      <c r="L134" s="1116"/>
      <c r="M134" s="1116"/>
      <c r="N134" s="1116"/>
      <c r="O134" s="1116"/>
      <c r="P134" s="1116"/>
      <c r="Q134" s="1116"/>
      <c r="R134" s="1116"/>
      <c r="S134" s="1149">
        <v>3891603</v>
      </c>
      <c r="T134" s="1149">
        <v>3829153</v>
      </c>
      <c r="U134" s="1149">
        <v>4302408</v>
      </c>
      <c r="V134" s="1149">
        <v>3976864</v>
      </c>
      <c r="W134" s="1149">
        <v>4239601</v>
      </c>
      <c r="X134" s="1149">
        <v>4511314</v>
      </c>
      <c r="Y134" s="1116"/>
      <c r="Z134" s="1116"/>
      <c r="AA134" s="1116"/>
      <c r="AB134" s="1116"/>
      <c r="AC134" s="1116"/>
    </row>
    <row r="135" spans="1:31">
      <c r="B135" s="1107" t="s">
        <v>1267</v>
      </c>
      <c r="C135" s="1183"/>
      <c r="D135" s="1183"/>
      <c r="E135" s="1183"/>
      <c r="F135" s="1116"/>
      <c r="G135" s="1116"/>
      <c r="H135" s="1116"/>
      <c r="I135" s="1116"/>
      <c r="J135" s="1116"/>
      <c r="K135" s="1116"/>
      <c r="L135" s="1116"/>
      <c r="M135" s="1116"/>
      <c r="N135" s="1116"/>
      <c r="O135" s="1116"/>
      <c r="P135" s="1116"/>
      <c r="Q135" s="1116"/>
      <c r="R135" s="1116"/>
      <c r="S135" s="1316" t="s">
        <v>335</v>
      </c>
      <c r="T135" s="1316" t="s">
        <v>335</v>
      </c>
      <c r="U135" s="1149">
        <v>4027138</v>
      </c>
      <c r="V135" s="1149">
        <v>3648066</v>
      </c>
      <c r="W135" s="1149">
        <v>3662290</v>
      </c>
      <c r="X135" s="1149">
        <v>3701795</v>
      </c>
      <c r="Y135" s="1116"/>
      <c r="Z135" s="1116"/>
      <c r="AA135" s="1116"/>
      <c r="AB135" s="1116"/>
      <c r="AC135" s="1116"/>
    </row>
    <row r="136" spans="1:31">
      <c r="A136" s="4"/>
      <c r="B136" s="721"/>
      <c r="C136" s="1357"/>
      <c r="D136" s="1357"/>
      <c r="E136" s="1183"/>
      <c r="F136" s="1116"/>
      <c r="G136" s="1116"/>
      <c r="H136" s="1116"/>
      <c r="I136" s="1116"/>
      <c r="J136" s="1116"/>
      <c r="K136" s="1116"/>
      <c r="L136" s="1116"/>
      <c r="M136" s="1116"/>
      <c r="N136" s="1116"/>
      <c r="O136" s="1116"/>
      <c r="P136" s="1116"/>
      <c r="Q136" s="1116"/>
      <c r="R136" s="1116"/>
      <c r="S136" s="1316"/>
      <c r="T136" s="1316"/>
      <c r="U136" s="1149"/>
      <c r="V136" s="1149"/>
      <c r="W136" s="1149"/>
      <c r="X136" s="1149"/>
      <c r="Y136" s="1116"/>
      <c r="Z136" s="1116"/>
      <c r="AA136" s="1116"/>
      <c r="AB136" s="1116"/>
      <c r="AC136" s="1116"/>
    </row>
    <row r="137" spans="1:31" ht="18">
      <c r="E137" s="1514"/>
      <c r="F137" s="1514"/>
      <c r="G137" s="1514"/>
      <c r="H137" s="1514"/>
      <c r="I137" s="1511"/>
      <c r="J137" s="1511"/>
      <c r="K137" s="1511"/>
      <c r="L137" s="1330"/>
      <c r="M137" s="1331"/>
      <c r="N137" s="1330"/>
      <c r="O137" s="751"/>
      <c r="P137" s="1332"/>
      <c r="Q137" s="862"/>
      <c r="R137" s="862"/>
      <c r="S137" s="862"/>
      <c r="T137" s="862"/>
      <c r="U137" s="862"/>
      <c r="V137" s="1333"/>
      <c r="W137" s="1552" t="s">
        <v>1030</v>
      </c>
      <c r="X137" s="1553"/>
      <c r="Y137" s="1553"/>
      <c r="Z137" s="1553"/>
      <c r="AA137" s="1554"/>
      <c r="AB137" s="1083">
        <v>3.4</v>
      </c>
      <c r="AC137" s="1116"/>
      <c r="AD137" s="1116"/>
      <c r="AE137" s="1116"/>
    </row>
    <row r="138" spans="1:31" ht="18">
      <c r="A138" s="520" t="s">
        <v>1435</v>
      </c>
      <c r="B138" s="745"/>
      <c r="C138" s="753"/>
      <c r="D138" s="753"/>
      <c r="E138" s="1508"/>
      <c r="F138" s="1508"/>
      <c r="G138" s="1508"/>
      <c r="H138" s="1508"/>
      <c r="I138" s="1377"/>
      <c r="J138" s="1377"/>
      <c r="K138" s="1377"/>
      <c r="L138" s="1378"/>
      <c r="M138" s="1379"/>
      <c r="N138" s="1378"/>
      <c r="O138" s="1380"/>
      <c r="P138" s="1381"/>
      <c r="Q138" s="1382"/>
      <c r="R138" s="1382"/>
      <c r="S138" s="1382"/>
      <c r="T138" s="1382"/>
      <c r="U138" s="1382"/>
      <c r="V138" s="1382"/>
      <c r="W138" s="1383"/>
      <c r="X138" s="1383"/>
      <c r="Y138" s="1383"/>
      <c r="Z138" s="1383"/>
      <c r="AA138" s="1383"/>
      <c r="AB138" s="1125"/>
      <c r="AC138" s="1116"/>
      <c r="AD138" s="1116"/>
      <c r="AE138" s="1116"/>
    </row>
    <row r="139" spans="1:31">
      <c r="A139" s="6"/>
      <c r="B139" s="6"/>
      <c r="C139" s="6"/>
      <c r="D139" s="1522"/>
      <c r="E139" s="1522"/>
      <c r="F139" s="6"/>
      <c r="G139" s="6"/>
      <c r="H139" s="6"/>
      <c r="I139" s="6"/>
      <c r="J139" s="6"/>
      <c r="K139" s="6"/>
      <c r="L139" s="6"/>
      <c r="M139" s="6"/>
      <c r="N139" s="6"/>
      <c r="O139" s="6"/>
      <c r="P139" s="6"/>
      <c r="Q139" s="6"/>
      <c r="R139" s="1350"/>
      <c r="S139" s="1350" t="s">
        <v>1371</v>
      </c>
      <c r="T139" s="1350" t="s">
        <v>128</v>
      </c>
      <c r="U139" s="6"/>
      <c r="V139" s="1522"/>
      <c r="W139" s="1352"/>
      <c r="X139" s="1352"/>
      <c r="Y139" s="1352"/>
      <c r="Z139" s="1352"/>
      <c r="AA139" s="1352"/>
      <c r="AB139" s="1352"/>
      <c r="AC139" s="1351"/>
      <c r="AD139" s="1351"/>
      <c r="AE139" s="1116"/>
    </row>
    <row r="140" spans="1:31">
      <c r="R140" s="1155" t="s">
        <v>624</v>
      </c>
      <c r="S140" s="1155" t="s">
        <v>1370</v>
      </c>
      <c r="T140" s="1155" t="s">
        <v>204</v>
      </c>
      <c r="U140" s="1155" t="s">
        <v>158</v>
      </c>
      <c r="V140" s="1155" t="s">
        <v>164</v>
      </c>
      <c r="W140" s="1353" t="s">
        <v>1253</v>
      </c>
      <c r="X140" s="1353"/>
      <c r="Y140" s="1155"/>
      <c r="Z140" s="1155"/>
      <c r="AA140" s="1155"/>
      <c r="AB140" s="1155"/>
      <c r="AC140" s="1116"/>
      <c r="AD140" s="1116"/>
      <c r="AE140" s="1116"/>
    </row>
    <row r="141" spans="1:31">
      <c r="R141" s="1152" t="s">
        <v>24</v>
      </c>
      <c r="S141" s="13" t="s">
        <v>18</v>
      </c>
      <c r="T141" s="1152" t="s">
        <v>74</v>
      </c>
      <c r="U141" s="1152" t="s">
        <v>1264</v>
      </c>
      <c r="V141" s="1152" t="s">
        <v>1264</v>
      </c>
      <c r="W141" s="1207" t="s">
        <v>74</v>
      </c>
      <c r="X141" s="1207"/>
      <c r="Y141" s="1152"/>
      <c r="Z141" s="1152"/>
      <c r="AA141" s="1152"/>
      <c r="AB141" s="1152"/>
      <c r="AC141" s="1116"/>
      <c r="AD141" s="1116"/>
      <c r="AE141" s="1116"/>
    </row>
    <row r="142" spans="1:31">
      <c r="B142" s="1146">
        <v>1996</v>
      </c>
      <c r="D142" s="1151" t="s">
        <v>1277</v>
      </c>
      <c r="R142" s="1116">
        <v>-204314</v>
      </c>
      <c r="S142" s="1116">
        <v>1322818</v>
      </c>
      <c r="T142" s="1116">
        <v>39400</v>
      </c>
      <c r="U142" s="1116"/>
      <c r="V142" s="1116"/>
      <c r="W142" s="1116"/>
      <c r="X142" s="1116"/>
      <c r="Y142" s="1116"/>
      <c r="Z142" s="1116"/>
      <c r="AA142" s="1116"/>
      <c r="AB142" s="1116"/>
      <c r="AC142" s="1116"/>
      <c r="AD142" s="1116"/>
      <c r="AE142" s="1116"/>
    </row>
    <row r="143" spans="1:31">
      <c r="B143" s="1146">
        <v>1997</v>
      </c>
      <c r="D143" s="1312"/>
      <c r="R143" s="1116"/>
      <c r="S143" s="1116">
        <v>1359821</v>
      </c>
      <c r="T143" s="1116">
        <v>57111</v>
      </c>
      <c r="U143" s="1116"/>
      <c r="V143" s="1116"/>
      <c r="W143" s="1116"/>
      <c r="X143" s="1116"/>
      <c r="Y143" s="1116"/>
      <c r="Z143" s="1116"/>
      <c r="AA143" s="1116"/>
      <c r="AB143" s="1116"/>
      <c r="AC143" s="1116"/>
      <c r="AD143" s="1116"/>
      <c r="AE143" s="1116"/>
    </row>
    <row r="144" spans="1:31">
      <c r="B144" s="1146">
        <v>1998</v>
      </c>
      <c r="D144" s="1312"/>
      <c r="R144" s="1116">
        <v>0</v>
      </c>
      <c r="S144" s="1116">
        <v>1418424</v>
      </c>
      <c r="T144" s="1116">
        <v>47131</v>
      </c>
      <c r="U144" s="1116">
        <v>1784587</v>
      </c>
      <c r="V144" s="1116">
        <v>981760</v>
      </c>
      <c r="W144" s="1116"/>
      <c r="X144" s="1116"/>
      <c r="Y144" s="1116"/>
      <c r="Z144" s="1116"/>
      <c r="AA144" s="1116"/>
      <c r="AB144" s="1116"/>
      <c r="AC144" s="1116"/>
      <c r="AD144" s="1116"/>
      <c r="AE144" s="1116"/>
    </row>
    <row r="145" spans="2:31">
      <c r="B145" s="1146">
        <v>1999</v>
      </c>
      <c r="D145" s="1185" t="s">
        <v>1220</v>
      </c>
      <c r="R145" s="1116">
        <v>673347</v>
      </c>
      <c r="S145" s="1116">
        <v>2137822</v>
      </c>
      <c r="T145" s="1116">
        <v>57463</v>
      </c>
      <c r="U145" s="1116">
        <v>2137822</v>
      </c>
      <c r="V145" s="1116">
        <v>1614585</v>
      </c>
      <c r="W145" s="1121"/>
      <c r="X145" s="1116"/>
      <c r="Y145" s="1116"/>
      <c r="Z145" s="1116"/>
      <c r="AA145" s="1116"/>
      <c r="AB145" s="1116"/>
      <c r="AC145" s="1116"/>
      <c r="AD145" s="1116"/>
      <c r="AE145" s="1116"/>
    </row>
    <row r="146" spans="2:31">
      <c r="B146" s="1146">
        <v>2000</v>
      </c>
      <c r="D146" s="1185"/>
      <c r="R146" s="1116">
        <v>697326</v>
      </c>
      <c r="S146" s="1116">
        <v>2143527</v>
      </c>
      <c r="T146" s="1116">
        <v>65666</v>
      </c>
      <c r="U146" s="1116">
        <v>1832146</v>
      </c>
      <c r="V146" s="1116">
        <v>1699826</v>
      </c>
      <c r="W146" s="1121"/>
      <c r="X146" s="1149"/>
      <c r="Y146" s="1158"/>
      <c r="Z146" s="1149"/>
      <c r="AA146" s="1116"/>
      <c r="AB146" s="1149"/>
      <c r="AC146" s="1116"/>
      <c r="AD146" s="1116"/>
      <c r="AE146" s="1116"/>
    </row>
    <row r="147" spans="2:31">
      <c r="B147" s="1146">
        <v>2001</v>
      </c>
      <c r="D147" s="1185"/>
      <c r="R147" s="1116">
        <v>0</v>
      </c>
      <c r="S147" s="1116">
        <v>2105858</v>
      </c>
      <c r="T147" s="1116">
        <v>73332</v>
      </c>
      <c r="U147" s="1116">
        <v>1825948</v>
      </c>
      <c r="V147" s="1116">
        <v>1644269</v>
      </c>
      <c r="W147" s="1116"/>
      <c r="X147" s="1116"/>
      <c r="Y147" s="1115"/>
      <c r="Z147" s="1116"/>
      <c r="AA147" s="1116"/>
      <c r="AB147" s="1149"/>
      <c r="AC147" s="1116"/>
      <c r="AD147" s="1116"/>
      <c r="AE147" s="1116"/>
    </row>
    <row r="148" spans="2:31">
      <c r="B148" s="1146">
        <v>2002</v>
      </c>
      <c r="D148" s="1185"/>
      <c r="R148" s="1116">
        <v>843087</v>
      </c>
      <c r="S148" s="1116">
        <v>2935496</v>
      </c>
      <c r="T148" s="1116">
        <v>68833</v>
      </c>
      <c r="U148" s="1116">
        <v>2317600</v>
      </c>
      <c r="V148" s="1116"/>
      <c r="W148" s="1116"/>
      <c r="X148" s="1116"/>
      <c r="Y148" s="1115"/>
      <c r="Z148" s="1116"/>
      <c r="AA148" s="1116"/>
      <c r="AB148" s="1149"/>
      <c r="AC148" s="1116"/>
      <c r="AD148" s="1116"/>
      <c r="AE148" s="1116"/>
    </row>
    <row r="149" spans="2:31">
      <c r="B149" s="1146">
        <v>2003</v>
      </c>
      <c r="D149" s="1185"/>
      <c r="R149" s="1116">
        <v>0</v>
      </c>
      <c r="S149" s="1116">
        <v>3411363</v>
      </c>
      <c r="T149" s="1116">
        <v>100612</v>
      </c>
      <c r="U149" s="1116">
        <v>2963069</v>
      </c>
      <c r="V149" s="1116"/>
      <c r="W149" s="1116">
        <v>86686</v>
      </c>
      <c r="X149" s="1116"/>
      <c r="Y149" s="1150"/>
      <c r="Z149" s="1116"/>
      <c r="AA149" s="1116"/>
      <c r="AB149" s="1149"/>
      <c r="AC149" s="1116"/>
      <c r="AD149" s="1116"/>
      <c r="AE149" s="1116"/>
    </row>
    <row r="150" spans="2:31">
      <c r="B150" s="1152">
        <v>2004</v>
      </c>
      <c r="C150" s="4"/>
      <c r="D150" s="1192"/>
      <c r="E150" s="4"/>
      <c r="R150" s="1153">
        <v>550327</v>
      </c>
      <c r="S150" s="1153">
        <v>3919732</v>
      </c>
      <c r="T150" s="1153">
        <v>114160</v>
      </c>
      <c r="U150" s="1153">
        <v>3711055</v>
      </c>
      <c r="V150" s="1153"/>
      <c r="W150" s="1153">
        <v>98650</v>
      </c>
      <c r="X150" s="1153"/>
      <c r="Y150" s="1154"/>
      <c r="Z150" s="1153"/>
      <c r="AA150" s="1153"/>
      <c r="AB150" s="1153"/>
      <c r="AC150" s="1116"/>
      <c r="AD150" s="1116"/>
      <c r="AE150" s="1116"/>
    </row>
    <row r="151" spans="2:31">
      <c r="B151" s="1155"/>
      <c r="D151" s="1185"/>
      <c r="R151" s="1121"/>
      <c r="S151" s="1158"/>
      <c r="T151" s="1158"/>
      <c r="U151" s="1116"/>
      <c r="V151" s="1158"/>
      <c r="W151" s="1149"/>
      <c r="X151" s="1126" t="s">
        <v>1223</v>
      </c>
      <c r="Y151" s="887"/>
      <c r="Z151" s="1149"/>
      <c r="AA151" s="1149"/>
      <c r="AB151" s="1158"/>
      <c r="AC151" s="1116"/>
      <c r="AD151" s="1116"/>
      <c r="AE151" s="1116"/>
    </row>
    <row r="152" spans="2:31">
      <c r="B152" s="1146">
        <v>2005</v>
      </c>
      <c r="D152" s="1185" t="s">
        <v>1263</v>
      </c>
      <c r="R152" s="1116">
        <v>0</v>
      </c>
      <c r="S152" s="1116">
        <v>3891603</v>
      </c>
      <c r="T152" s="1116">
        <v>94304</v>
      </c>
      <c r="U152" s="1116">
        <v>3659175</v>
      </c>
      <c r="V152" s="1116"/>
      <c r="W152" s="1116">
        <v>80899</v>
      </c>
      <c r="X152" s="1151" t="s">
        <v>1221</v>
      </c>
      <c r="Y152" s="1209" t="s">
        <v>469</v>
      </c>
      <c r="Z152" s="1209"/>
      <c r="AC152" s="1116"/>
      <c r="AD152" s="1116"/>
      <c r="AE152" s="1116"/>
    </row>
    <row r="153" spans="2:31">
      <c r="B153" s="1152">
        <v>2006</v>
      </c>
      <c r="C153" s="4"/>
      <c r="D153" s="1192"/>
      <c r="E153" s="4"/>
      <c r="F153" s="4"/>
      <c r="G153" s="4"/>
      <c r="H153" s="4"/>
      <c r="I153" s="4"/>
      <c r="J153" s="4"/>
      <c r="K153" s="4"/>
      <c r="L153" s="4"/>
      <c r="M153" s="4"/>
      <c r="N153" s="4"/>
      <c r="O153" s="4"/>
      <c r="P153" s="4"/>
      <c r="Q153" s="4"/>
      <c r="R153" s="1153">
        <v>3842</v>
      </c>
      <c r="S153" s="1153">
        <v>3829153</v>
      </c>
      <c r="T153" s="1153">
        <v>133229</v>
      </c>
      <c r="U153" s="1153">
        <v>3661394</v>
      </c>
      <c r="V153" s="1153"/>
      <c r="W153" s="1153">
        <v>115865</v>
      </c>
      <c r="X153" s="1321" t="s">
        <v>1222</v>
      </c>
      <c r="Y153" s="1147"/>
      <c r="Z153" s="1147"/>
      <c r="AA153" s="4"/>
      <c r="AB153" s="4"/>
      <c r="AC153" s="1116"/>
      <c r="AD153" s="1116"/>
      <c r="AE153" s="1116"/>
    </row>
    <row r="154" spans="2:31">
      <c r="B154" s="1146">
        <v>2007</v>
      </c>
      <c r="D154" s="1185" t="s">
        <v>1339</v>
      </c>
      <c r="R154" s="1065">
        <v>0</v>
      </c>
      <c r="S154" s="1116">
        <v>4302408</v>
      </c>
      <c r="T154" s="1116">
        <v>139249</v>
      </c>
      <c r="U154" s="1116">
        <v>4027138</v>
      </c>
      <c r="V154" s="1116">
        <v>4027138</v>
      </c>
      <c r="W154" s="1116">
        <v>119957</v>
      </c>
      <c r="X154" s="1116"/>
      <c r="Y154" s="1115" t="s">
        <v>1224</v>
      </c>
      <c r="Z154" s="1115"/>
      <c r="AC154" s="1116"/>
      <c r="AD154" s="1116"/>
      <c r="AE154" s="1116"/>
    </row>
    <row r="155" spans="2:31">
      <c r="B155" s="1146">
        <v>2008</v>
      </c>
      <c r="D155" s="1185"/>
      <c r="R155" s="1116">
        <v>0</v>
      </c>
      <c r="S155" s="1116">
        <v>3976864</v>
      </c>
      <c r="T155" s="1116">
        <v>147947</v>
      </c>
      <c r="U155" s="1116">
        <v>4090194</v>
      </c>
      <c r="V155" s="1116">
        <v>3648066</v>
      </c>
      <c r="W155" s="1116">
        <v>127220</v>
      </c>
      <c r="X155" s="1116"/>
      <c r="Y155" s="1115"/>
      <c r="Z155" s="1116"/>
      <c r="AA155" s="1116"/>
      <c r="AB155" s="1116"/>
      <c r="AC155" s="1116"/>
      <c r="AD155" s="1116"/>
      <c r="AE155" s="1116"/>
    </row>
    <row r="156" spans="2:31">
      <c r="B156" s="1152">
        <v>2009</v>
      </c>
      <c r="C156" s="4"/>
      <c r="D156" s="1313"/>
      <c r="E156" s="4"/>
      <c r="R156" s="1153">
        <v>0</v>
      </c>
      <c r="S156" s="1153">
        <v>4239601</v>
      </c>
      <c r="T156" s="1153">
        <v>164776</v>
      </c>
      <c r="U156" s="1153">
        <v>4237044</v>
      </c>
      <c r="V156" s="1153">
        <v>3662290</v>
      </c>
      <c r="W156" s="1153">
        <v>142647</v>
      </c>
      <c r="X156" s="1153"/>
      <c r="Y156" s="1147"/>
      <c r="Z156" s="1153"/>
      <c r="AA156" s="1153"/>
      <c r="AB156" s="1153"/>
      <c r="AC156" s="1116"/>
      <c r="AD156" s="1116"/>
      <c r="AE156" s="1116"/>
    </row>
    <row r="157" spans="2:31">
      <c r="B157" s="1155"/>
      <c r="D157" s="1312"/>
      <c r="R157" s="1149"/>
      <c r="S157" s="1149"/>
      <c r="T157" s="1149"/>
      <c r="U157" s="1149"/>
      <c r="V157" s="1149"/>
      <c r="W157" s="1149"/>
      <c r="X157" s="1126" t="s">
        <v>1336</v>
      </c>
      <c r="Y157" s="1148"/>
      <c r="Z157" s="1149"/>
      <c r="AA157" s="1149"/>
      <c r="AB157" s="1116"/>
      <c r="AC157" s="1116"/>
      <c r="AD157" s="1116"/>
      <c r="AE157" s="1116"/>
    </row>
    <row r="158" spans="2:31">
      <c r="B158" s="1146">
        <v>2010</v>
      </c>
      <c r="D158" s="1185" t="s">
        <v>1338</v>
      </c>
      <c r="R158" s="1065">
        <v>0</v>
      </c>
      <c r="S158" s="1116">
        <v>4511314</v>
      </c>
      <c r="T158" s="1116">
        <v>155410</v>
      </c>
      <c r="U158" s="1116">
        <v>4416436</v>
      </c>
      <c r="V158" s="1116">
        <v>3701795</v>
      </c>
      <c r="W158" s="1116">
        <v>139897</v>
      </c>
      <c r="X158" s="1116"/>
      <c r="Y158" s="1115"/>
      <c r="Z158" s="1116"/>
      <c r="AA158" s="1116"/>
      <c r="AB158" s="1116"/>
      <c r="AC158" s="1116"/>
      <c r="AD158" s="1116"/>
      <c r="AE158" s="1116"/>
    </row>
    <row r="159" spans="2:31">
      <c r="B159" s="1146">
        <v>2011</v>
      </c>
      <c r="D159" s="1312"/>
      <c r="R159" s="1116">
        <v>0</v>
      </c>
      <c r="S159" s="1116">
        <v>4813619</v>
      </c>
      <c r="T159" s="1116">
        <v>155184</v>
      </c>
      <c r="U159" s="1116">
        <v>4939583</v>
      </c>
      <c r="V159" s="1116">
        <v>4143737</v>
      </c>
      <c r="W159" s="1116">
        <v>140503</v>
      </c>
      <c r="X159" s="1116"/>
      <c r="Y159" s="1115"/>
      <c r="Z159" s="1116"/>
      <c r="AA159" s="1116"/>
      <c r="AB159" s="1116"/>
      <c r="AC159" s="1116"/>
      <c r="AD159" s="1116"/>
      <c r="AE159" s="1116"/>
    </row>
    <row r="160" spans="2:31">
      <c r="B160" s="1146">
        <v>2012</v>
      </c>
      <c r="D160" s="1312"/>
      <c r="R160" s="1116">
        <v>0</v>
      </c>
      <c r="S160" s="1116">
        <v>5163000</v>
      </c>
      <c r="T160" s="1116">
        <v>181000</v>
      </c>
      <c r="U160" s="1116">
        <v>5061000</v>
      </c>
      <c r="V160" s="1116">
        <v>4149000</v>
      </c>
      <c r="W160" s="1116">
        <v>162000</v>
      </c>
      <c r="X160" s="1116"/>
      <c r="Y160" s="1115"/>
      <c r="Z160" s="1116"/>
      <c r="AA160" s="1116"/>
      <c r="AB160" s="1116"/>
      <c r="AC160" s="1116"/>
      <c r="AD160" s="1116"/>
      <c r="AE160" s="1116"/>
    </row>
    <row r="161" spans="1:32">
      <c r="B161" s="1146">
        <v>2013</v>
      </c>
      <c r="D161" s="1312"/>
      <c r="R161" s="1116">
        <v>0</v>
      </c>
      <c r="S161" s="1116">
        <v>5168000</v>
      </c>
      <c r="T161" s="1116">
        <v>180000</v>
      </c>
      <c r="U161" s="1116">
        <v>5300000</v>
      </c>
      <c r="V161" s="1116">
        <v>4263000</v>
      </c>
      <c r="W161" s="1116">
        <v>162000</v>
      </c>
      <c r="X161" s="1116"/>
      <c r="Y161" s="1115"/>
      <c r="Z161" s="1116"/>
      <c r="AA161" s="1116"/>
      <c r="AB161" s="1116"/>
      <c r="AC161" s="1116"/>
      <c r="AD161" s="1116"/>
      <c r="AE161" s="1116"/>
    </row>
    <row r="162" spans="1:32">
      <c r="B162" s="1146">
        <v>2014</v>
      </c>
      <c r="D162" s="1312"/>
      <c r="R162" s="1116">
        <v>0</v>
      </c>
      <c r="S162" s="1116">
        <v>5180000</v>
      </c>
      <c r="T162" s="1116">
        <v>177000</v>
      </c>
      <c r="U162" s="1116">
        <v>5966000</v>
      </c>
      <c r="V162" s="1116">
        <v>4775000</v>
      </c>
      <c r="W162" s="1116">
        <v>161000</v>
      </c>
      <c r="X162" s="1116"/>
      <c r="Y162" s="1115"/>
      <c r="Z162" s="1116"/>
      <c r="AA162" s="1116"/>
      <c r="AB162" s="1116"/>
      <c r="AC162" s="1116"/>
      <c r="AD162" s="1116"/>
      <c r="AE162" s="1116"/>
    </row>
    <row r="163" spans="1:32">
      <c r="B163" s="1146">
        <v>2015</v>
      </c>
      <c r="D163" s="1312"/>
      <c r="R163" s="1116">
        <v>0</v>
      </c>
      <c r="S163" s="1116">
        <v>5078000</v>
      </c>
      <c r="T163" s="1116">
        <v>178000</v>
      </c>
      <c r="U163" s="1116">
        <v>6076000</v>
      </c>
      <c r="V163" s="1116">
        <v>4721000</v>
      </c>
      <c r="W163" s="1116">
        <v>166000</v>
      </c>
      <c r="X163" s="1116"/>
      <c r="Y163" s="1115"/>
      <c r="Z163" s="1116"/>
      <c r="AA163" s="1116"/>
      <c r="AB163" s="1116"/>
      <c r="AC163" s="1116"/>
      <c r="AD163" s="1116"/>
      <c r="AE163" s="1116"/>
    </row>
    <row r="164" spans="1:32">
      <c r="B164" s="1146">
        <v>2016</v>
      </c>
      <c r="D164" s="1312"/>
      <c r="R164" s="1116">
        <v>0</v>
      </c>
      <c r="S164" s="1116">
        <v>4699000</v>
      </c>
      <c r="T164" s="1116">
        <v>175000</v>
      </c>
      <c r="U164" s="1116">
        <v>5683000</v>
      </c>
      <c r="V164" s="1116">
        <v>4387000</v>
      </c>
      <c r="W164" s="1116">
        <v>161000</v>
      </c>
      <c r="X164" s="1116" t="s">
        <v>1337</v>
      </c>
      <c r="Y164" s="1115"/>
      <c r="AA164" s="1116"/>
      <c r="AB164" s="1116"/>
      <c r="AC164" s="1116"/>
      <c r="AD164" s="1116"/>
      <c r="AE164" s="1116"/>
    </row>
    <row r="165" spans="1:32">
      <c r="B165" s="1146">
        <v>2017</v>
      </c>
      <c r="D165" s="1312"/>
      <c r="R165" s="1116">
        <v>0</v>
      </c>
      <c r="S165" s="1116">
        <v>4611000</v>
      </c>
      <c r="T165" s="1116">
        <v>158000</v>
      </c>
      <c r="U165" s="1116">
        <v>5708000</v>
      </c>
      <c r="V165" s="1116">
        <v>4257000</v>
      </c>
      <c r="W165" s="1116">
        <v>158000</v>
      </c>
      <c r="X165" s="1116"/>
      <c r="Y165" s="1115"/>
      <c r="Z165" s="1116"/>
      <c r="AA165" s="1116"/>
      <c r="AB165" s="1116"/>
      <c r="AC165" s="1116"/>
      <c r="AD165" s="1116"/>
      <c r="AE165" s="1116"/>
    </row>
    <row r="166" spans="1:32">
      <c r="B166" s="1146">
        <v>2018</v>
      </c>
      <c r="D166" s="1312"/>
      <c r="R166" s="1116">
        <v>0</v>
      </c>
      <c r="S166" s="1116">
        <v>4253000</v>
      </c>
      <c r="T166" s="1116">
        <v>182000</v>
      </c>
      <c r="U166" s="1116">
        <v>5593000</v>
      </c>
      <c r="V166" s="1116">
        <v>4055000</v>
      </c>
      <c r="W166" s="1116">
        <v>167000</v>
      </c>
      <c r="X166" s="1116"/>
      <c r="Y166" s="1115"/>
      <c r="Z166" s="1116"/>
      <c r="AA166" s="1116"/>
      <c r="AB166" s="1116"/>
      <c r="AC166" s="1116"/>
      <c r="AD166" s="1116"/>
      <c r="AE166" s="1116"/>
    </row>
    <row r="167" spans="1:32">
      <c r="B167" s="1146">
        <v>2019</v>
      </c>
      <c r="D167" s="1312"/>
      <c r="R167" s="1116">
        <v>0</v>
      </c>
      <c r="S167" s="1116">
        <v>4126000</v>
      </c>
      <c r="T167" s="1116">
        <v>169000</v>
      </c>
      <c r="U167" s="1116">
        <v>5627000</v>
      </c>
      <c r="V167" s="1116">
        <v>3929000</v>
      </c>
      <c r="W167" s="1116">
        <v>160000</v>
      </c>
      <c r="X167" s="1116"/>
      <c r="Y167" s="1115"/>
      <c r="Z167" s="1116"/>
      <c r="AA167" s="1116"/>
      <c r="AB167" s="1116"/>
      <c r="AC167" s="1116"/>
      <c r="AD167" s="1116"/>
      <c r="AE167" s="1116"/>
    </row>
    <row r="168" spans="1:32">
      <c r="B168" s="1146">
        <v>2020</v>
      </c>
      <c r="D168" s="1312"/>
      <c r="R168" s="1116">
        <v>0</v>
      </c>
      <c r="S168" s="1116">
        <v>4026000</v>
      </c>
      <c r="T168" s="1116">
        <v>184000</v>
      </c>
      <c r="U168" s="1149">
        <v>5658000</v>
      </c>
      <c r="V168" s="1116">
        <v>3786000</v>
      </c>
      <c r="W168" s="1116">
        <v>177000</v>
      </c>
      <c r="X168" s="1116"/>
      <c r="Y168" s="1115"/>
      <c r="Z168" s="1116"/>
      <c r="AA168" s="1116"/>
      <c r="AB168" s="1116"/>
      <c r="AC168" s="1116"/>
      <c r="AD168" s="1116"/>
      <c r="AE168" s="1116"/>
    </row>
    <row r="169" spans="1:32">
      <c r="B169" s="1152">
        <v>2021</v>
      </c>
      <c r="C169" s="4"/>
      <c r="D169" s="1313"/>
      <c r="E169" s="4"/>
      <c r="R169" s="1153">
        <v>0</v>
      </c>
      <c r="S169" s="1153">
        <v>3961000</v>
      </c>
      <c r="T169" s="1153">
        <v>208000</v>
      </c>
      <c r="U169" s="1153">
        <v>5718000</v>
      </c>
      <c r="V169" s="1153">
        <v>3646000</v>
      </c>
      <c r="W169" s="1153">
        <v>200000</v>
      </c>
      <c r="X169" s="1153"/>
      <c r="Y169" s="1147"/>
      <c r="Z169" s="1153"/>
      <c r="AA169" s="1153"/>
      <c r="AB169" s="1153"/>
      <c r="AC169" s="1116"/>
      <c r="AD169" s="1116"/>
      <c r="AE169" s="1116"/>
    </row>
    <row r="170" spans="1:32" ht="13.5" thickBot="1">
      <c r="R170" s="1320">
        <v>2563615</v>
      </c>
      <c r="S170" s="1116"/>
      <c r="T170" s="1116"/>
      <c r="U170" s="1116"/>
      <c r="V170" s="1116"/>
      <c r="W170" s="1116"/>
      <c r="X170" s="1116"/>
      <c r="Y170" s="1116"/>
      <c r="Z170" s="1116"/>
      <c r="AA170" s="1116"/>
      <c r="AB170" s="1116"/>
      <c r="AC170" s="1116"/>
      <c r="AD170" s="1116"/>
      <c r="AE170" s="1116"/>
    </row>
    <row r="171" spans="1:32" ht="13.5" thickTop="1">
      <c r="A171" s="4"/>
      <c r="B171" s="4"/>
      <c r="C171" s="4"/>
      <c r="D171" s="4"/>
      <c r="E171" s="4"/>
      <c r="F171" s="4"/>
      <c r="G171" s="4"/>
      <c r="H171" s="4"/>
      <c r="I171" s="4"/>
      <c r="J171" s="4"/>
      <c r="K171" s="4"/>
      <c r="L171" s="4"/>
      <c r="M171" s="4"/>
      <c r="N171" s="4"/>
      <c r="O171" s="4"/>
      <c r="P171" s="4"/>
      <c r="Q171" s="4"/>
      <c r="R171" s="1147"/>
      <c r="S171" s="1153"/>
      <c r="T171" s="1153"/>
      <c r="U171" s="1153"/>
      <c r="V171" s="1153"/>
      <c r="W171" s="1153"/>
      <c r="X171" s="1153"/>
      <c r="Y171" s="1153"/>
      <c r="Z171" s="1153"/>
      <c r="AA171" s="1153"/>
      <c r="AB171" s="1153"/>
      <c r="AC171" s="1116"/>
      <c r="AD171" s="1116"/>
      <c r="AE171" s="1116"/>
    </row>
    <row r="172" spans="1:32" ht="18">
      <c r="A172" s="1107"/>
      <c r="B172" s="1183"/>
      <c r="C172" s="1183"/>
      <c r="D172" s="1183"/>
      <c r="F172" s="616"/>
      <c r="G172" s="616"/>
      <c r="H172" s="616"/>
      <c r="I172" s="616"/>
      <c r="J172" s="616"/>
      <c r="K172" s="616"/>
      <c r="L172" s="616"/>
      <c r="M172" s="34"/>
      <c r="N172" s="616"/>
      <c r="O172" s="616"/>
      <c r="P172" s="616"/>
      <c r="Q172" s="616"/>
      <c r="R172" s="1180"/>
      <c r="S172" s="1180"/>
      <c r="T172" s="1180"/>
      <c r="U172" s="1522"/>
      <c r="V172" s="1522"/>
      <c r="W172" s="1572" t="s">
        <v>1452</v>
      </c>
      <c r="X172" s="1572"/>
      <c r="Y172" s="1572"/>
      <c r="Z172" s="1572"/>
      <c r="AA172" s="1573"/>
      <c r="AB172" s="1266">
        <v>3.5</v>
      </c>
      <c r="AC172" s="1116"/>
      <c r="AD172" s="1116"/>
      <c r="AE172" s="1116"/>
    </row>
    <row r="173" spans="1:32">
      <c r="A173" s="1182"/>
      <c r="B173" s="1182"/>
      <c r="C173" s="1182"/>
      <c r="D173" s="1182"/>
      <c r="E173" s="1002"/>
      <c r="F173" s="34">
        <v>0</v>
      </c>
      <c r="G173" s="34">
        <v>1</v>
      </c>
      <c r="H173" s="34">
        <v>2</v>
      </c>
      <c r="I173" s="34">
        <v>3</v>
      </c>
      <c r="J173" s="34">
        <v>4</v>
      </c>
      <c r="K173" s="34">
        <v>5</v>
      </c>
      <c r="L173" s="34">
        <v>6</v>
      </c>
      <c r="M173" s="34">
        <v>7</v>
      </c>
      <c r="N173" s="1276">
        <v>8</v>
      </c>
      <c r="O173" s="34">
        <v>9</v>
      </c>
      <c r="P173" s="34">
        <v>10</v>
      </c>
      <c r="Q173" s="34"/>
      <c r="R173" s="34">
        <v>0</v>
      </c>
      <c r="S173" s="34">
        <v>1</v>
      </c>
      <c r="T173" s="34">
        <v>2</v>
      </c>
      <c r="U173" s="34">
        <v>3</v>
      </c>
      <c r="V173" s="34">
        <v>4</v>
      </c>
      <c r="W173" s="34">
        <v>5</v>
      </c>
      <c r="X173" s="34">
        <v>6</v>
      </c>
      <c r="Y173" s="34">
        <v>7</v>
      </c>
      <c r="Z173" s="34">
        <v>8</v>
      </c>
      <c r="AA173" s="34">
        <v>9</v>
      </c>
      <c r="AB173" s="34">
        <v>10</v>
      </c>
      <c r="AC173" s="1116"/>
      <c r="AD173" s="1116"/>
      <c r="AE173" s="1116"/>
    </row>
    <row r="174" spans="1:32">
      <c r="E174" s="1276" t="s">
        <v>44</v>
      </c>
      <c r="F174" s="740">
        <v>1999</v>
      </c>
      <c r="G174" s="740">
        <v>2000</v>
      </c>
      <c r="H174" s="740">
        <v>2001</v>
      </c>
      <c r="I174" s="740">
        <v>2002</v>
      </c>
      <c r="J174" s="740">
        <v>2003</v>
      </c>
      <c r="K174" s="740">
        <v>2004</v>
      </c>
      <c r="L174" s="740">
        <v>2005</v>
      </c>
      <c r="M174" s="740">
        <v>2006</v>
      </c>
      <c r="N174" s="740">
        <v>2007</v>
      </c>
      <c r="O174" s="740">
        <v>2008</v>
      </c>
      <c r="P174" s="740">
        <v>2009</v>
      </c>
      <c r="Q174" s="740">
        <v>2010</v>
      </c>
      <c r="R174" s="980">
        <v>2011</v>
      </c>
      <c r="S174" s="980">
        <v>2012</v>
      </c>
      <c r="T174" s="980">
        <v>2013</v>
      </c>
      <c r="U174" s="980">
        <v>2014</v>
      </c>
      <c r="V174" s="980">
        <v>2015</v>
      </c>
      <c r="W174" s="980">
        <v>2016</v>
      </c>
      <c r="X174" s="980">
        <v>2017</v>
      </c>
      <c r="Y174" s="980">
        <v>2018</v>
      </c>
      <c r="Z174" s="980">
        <v>2019</v>
      </c>
      <c r="AA174" s="980">
        <v>2020</v>
      </c>
      <c r="AB174" s="980">
        <v>2021</v>
      </c>
      <c r="AC174" s="1116"/>
      <c r="AD174" s="1116"/>
      <c r="AE174" s="1116"/>
    </row>
    <row r="175" spans="1:32">
      <c r="A175" s="520" t="s">
        <v>1436</v>
      </c>
      <c r="B175" s="745"/>
      <c r="C175" s="753"/>
      <c r="D175" s="753"/>
      <c r="E175" s="1116"/>
      <c r="F175" s="1116" t="s">
        <v>46</v>
      </c>
      <c r="G175" s="1116"/>
      <c r="H175" s="1116"/>
      <c r="I175" s="1116"/>
      <c r="J175" s="1116"/>
      <c r="K175" s="1116"/>
      <c r="L175" s="1116"/>
      <c r="M175" s="1116"/>
      <c r="N175" s="1116"/>
      <c r="O175" s="1116"/>
      <c r="P175" s="1116"/>
      <c r="Q175" s="1116" t="s">
        <v>1271</v>
      </c>
      <c r="R175" s="1116"/>
      <c r="S175" s="1116"/>
      <c r="T175" s="1116"/>
      <c r="U175" s="1116"/>
      <c r="V175" s="1116"/>
      <c r="W175" s="1116"/>
      <c r="X175" s="1116"/>
      <c r="Y175" s="1116"/>
      <c r="Z175" s="1116"/>
      <c r="AA175" s="1116"/>
      <c r="AB175" s="1116"/>
      <c r="AC175" s="1116"/>
      <c r="AD175" s="1116"/>
      <c r="AE175" s="1116"/>
    </row>
    <row r="176" spans="1:32">
      <c r="A176" s="1349" t="s">
        <v>1372</v>
      </c>
      <c r="B176" s="1131"/>
      <c r="C176" s="1261"/>
      <c r="D176" s="1261"/>
      <c r="E176" s="1116"/>
      <c r="F176" s="1116"/>
      <c r="G176" s="1116"/>
      <c r="H176" s="1116"/>
      <c r="I176" s="1116"/>
      <c r="J176" s="1116"/>
      <c r="K176" s="1116"/>
      <c r="L176" s="1116"/>
      <c r="M176" s="1116"/>
      <c r="N176" s="1116"/>
      <c r="O176" s="1116"/>
      <c r="P176" s="1116"/>
      <c r="Q176" s="1116" t="e">
        <v>#REF!</v>
      </c>
      <c r="R176" s="1116">
        <v>2563615</v>
      </c>
      <c r="S176" s="1116">
        <v>2563615</v>
      </c>
      <c r="T176" s="1116">
        <v>2563615</v>
      </c>
      <c r="U176" s="1116">
        <v>2563615</v>
      </c>
      <c r="V176" s="1116">
        <v>2563615</v>
      </c>
      <c r="W176" s="1116">
        <v>2563615</v>
      </c>
      <c r="X176" s="1116">
        <v>2563615</v>
      </c>
      <c r="Y176" s="1116">
        <v>2563615</v>
      </c>
      <c r="Z176" s="1116">
        <v>2563615</v>
      </c>
      <c r="AA176" s="1116">
        <v>2563615</v>
      </c>
      <c r="AB176" s="1116">
        <v>2563615</v>
      </c>
      <c r="AF176" s="1110"/>
    </row>
    <row r="177" spans="1:32" ht="13.35" customHeight="1">
      <c r="A177" s="1354"/>
      <c r="B177" s="1131"/>
      <c r="C177" s="1261"/>
      <c r="D177" s="1261"/>
      <c r="E177" s="1116"/>
      <c r="F177" s="1116"/>
      <c r="G177" s="1116"/>
      <c r="H177" s="1116"/>
      <c r="I177" s="1116"/>
      <c r="J177" s="1116"/>
      <c r="K177" s="1116"/>
      <c r="L177" s="1116"/>
      <c r="M177" s="1116"/>
      <c r="N177" s="1116"/>
      <c r="O177" s="1116"/>
      <c r="P177" s="1116"/>
      <c r="Q177" s="1116"/>
      <c r="R177" s="1116" t="s">
        <v>1265</v>
      </c>
      <c r="S177" s="1116"/>
      <c r="T177" s="1116"/>
      <c r="U177" s="1116"/>
      <c r="V177" s="1116"/>
      <c r="W177" s="1116"/>
      <c r="X177" s="1116"/>
      <c r="Y177" s="1116"/>
      <c r="Z177" s="1116"/>
      <c r="AA177" s="1116"/>
      <c r="AB177" s="1116"/>
      <c r="AF177" s="1110"/>
    </row>
    <row r="178" spans="1:32" ht="13.35" customHeight="1">
      <c r="A178" s="1349" t="s">
        <v>158</v>
      </c>
      <c r="B178" s="1131"/>
      <c r="C178" s="1261"/>
      <c r="D178" s="1261"/>
      <c r="E178" s="1116"/>
      <c r="F178" s="1116"/>
      <c r="G178" s="1116"/>
      <c r="H178" s="1116"/>
      <c r="I178" s="1116"/>
      <c r="J178" s="1116"/>
      <c r="K178" s="1116"/>
      <c r="L178" s="1116"/>
      <c r="M178" s="1116"/>
      <c r="N178" s="1116"/>
      <c r="O178" s="1116"/>
      <c r="P178" s="1116"/>
      <c r="Q178" s="1116"/>
      <c r="R178" s="1116">
        <v>5738620</v>
      </c>
      <c r="S178" s="1116">
        <v>6212650</v>
      </c>
      <c r="T178" s="1116">
        <v>6399000</v>
      </c>
      <c r="U178" s="1116">
        <v>6579000</v>
      </c>
      <c r="V178" s="1116">
        <v>6646000</v>
      </c>
      <c r="W178" s="1116">
        <v>6142000</v>
      </c>
      <c r="X178" s="1116">
        <v>6244000</v>
      </c>
      <c r="Y178" s="1116">
        <v>5890000</v>
      </c>
      <c r="Z178" s="1116">
        <v>5954000</v>
      </c>
      <c r="AA178" s="1116">
        <v>6035000</v>
      </c>
      <c r="AB178" s="1116">
        <v>6184000</v>
      </c>
      <c r="AF178" s="1110"/>
    </row>
    <row r="179" spans="1:32" ht="13.35" customHeight="1">
      <c r="A179" s="1354"/>
      <c r="B179" s="1131"/>
      <c r="C179" s="1261"/>
      <c r="D179" s="1261"/>
      <c r="E179" s="1116"/>
      <c r="F179" s="1116"/>
      <c r="G179" s="1116"/>
      <c r="H179" s="1116"/>
      <c r="I179" s="1116"/>
      <c r="J179" s="1116"/>
      <c r="K179" s="1116"/>
      <c r="L179" s="1116"/>
      <c r="M179" s="1116"/>
      <c r="N179" s="1116"/>
      <c r="O179" s="1116"/>
      <c r="P179" s="1116"/>
      <c r="Q179" s="1116"/>
      <c r="R179" s="1116"/>
      <c r="S179" s="1116"/>
      <c r="T179" s="1116"/>
      <c r="U179" s="1116"/>
      <c r="V179" s="1116"/>
      <c r="W179" s="1116"/>
      <c r="X179" s="1116"/>
      <c r="Y179" s="1116"/>
      <c r="Z179" s="1116"/>
      <c r="AA179" s="1116"/>
      <c r="AB179" s="1116"/>
      <c r="AF179" s="1110"/>
    </row>
    <row r="180" spans="1:32" ht="13.35" customHeight="1">
      <c r="A180" s="1355" t="s">
        <v>1281</v>
      </c>
      <c r="B180" s="1183"/>
      <c r="C180" s="1183"/>
      <c r="D180" s="1183"/>
      <c r="E180" s="1116"/>
      <c r="F180" s="1116"/>
      <c r="G180" s="1116"/>
      <c r="H180" s="1116"/>
      <c r="I180" s="1116"/>
      <c r="J180" s="1116"/>
      <c r="K180" s="1116"/>
      <c r="L180" s="1116"/>
      <c r="M180" s="1116"/>
      <c r="N180" s="1116"/>
      <c r="O180" s="1116"/>
      <c r="P180" s="1116"/>
      <c r="Q180" s="1116"/>
      <c r="R180" s="1116">
        <v>4813619</v>
      </c>
      <c r="S180" s="1116">
        <v>5163000</v>
      </c>
      <c r="T180" s="1116">
        <v>5168000</v>
      </c>
      <c r="U180" s="1116">
        <v>5180000</v>
      </c>
      <c r="V180" s="1116">
        <v>5078000</v>
      </c>
      <c r="W180" s="1116">
        <v>4699000</v>
      </c>
      <c r="X180" s="1116">
        <v>4611000</v>
      </c>
      <c r="Y180" s="1116">
        <v>4253000</v>
      </c>
      <c r="Z180" s="1116">
        <v>4126000</v>
      </c>
      <c r="AA180" s="1116">
        <v>4026000</v>
      </c>
      <c r="AB180" s="1116">
        <v>3961000</v>
      </c>
    </row>
    <row r="181" spans="1:32" ht="13.35" customHeight="1">
      <c r="A181" s="1355"/>
      <c r="B181" s="1183"/>
      <c r="C181" s="1183"/>
      <c r="D181" s="1183"/>
      <c r="E181" s="1116"/>
      <c r="F181" s="1116"/>
      <c r="G181" s="1116"/>
      <c r="H181" s="1116"/>
      <c r="I181" s="1116"/>
      <c r="J181" s="1116"/>
      <c r="K181" s="1116"/>
      <c r="L181" s="1116"/>
      <c r="M181" s="1116"/>
      <c r="N181" s="1116"/>
      <c r="O181" s="1116"/>
      <c r="P181" s="1116"/>
      <c r="Q181" s="1116"/>
      <c r="R181" s="1116"/>
      <c r="S181" s="1116"/>
      <c r="T181" s="1116"/>
      <c r="U181" s="1116"/>
      <c r="V181" s="1116"/>
      <c r="W181" s="1116"/>
      <c r="X181" s="1116"/>
      <c r="Y181" s="1116"/>
      <c r="Z181" s="1116"/>
      <c r="AA181" s="1116"/>
      <c r="AB181" s="1116"/>
    </row>
    <row r="182" spans="1:32" ht="13.35" customHeight="1">
      <c r="A182" s="1355" t="s">
        <v>1352</v>
      </c>
      <c r="B182" s="1183"/>
      <c r="C182" s="1183"/>
      <c r="D182" s="1183"/>
      <c r="E182" s="1116"/>
      <c r="F182" s="1116"/>
      <c r="G182" s="1116"/>
      <c r="H182" s="1116"/>
      <c r="I182" s="1116"/>
      <c r="J182" s="1116"/>
      <c r="K182" s="1116"/>
      <c r="L182" s="1116"/>
      <c r="M182" s="1116"/>
      <c r="N182" s="1116"/>
      <c r="O182" s="1116"/>
      <c r="P182" s="1116"/>
      <c r="Q182" s="548">
        <v>155410</v>
      </c>
      <c r="R182" s="1116">
        <v>155184</v>
      </c>
      <c r="S182" s="1116">
        <v>181000</v>
      </c>
      <c r="T182" s="1116">
        <v>180000</v>
      </c>
      <c r="U182" s="1116">
        <v>177000</v>
      </c>
      <c r="V182" s="1116">
        <v>178000</v>
      </c>
      <c r="W182" s="1116">
        <v>175000</v>
      </c>
      <c r="X182" s="1116">
        <v>158000</v>
      </c>
      <c r="Y182" s="1116">
        <v>182000</v>
      </c>
      <c r="Z182" s="1116">
        <v>169000</v>
      </c>
      <c r="AA182" s="1116">
        <v>184000</v>
      </c>
      <c r="AB182" s="1116">
        <v>208000</v>
      </c>
    </row>
    <row r="183" spans="1:32" ht="13.35" customHeight="1">
      <c r="A183" s="1355"/>
      <c r="B183" s="1183"/>
      <c r="C183" s="1183"/>
      <c r="D183" s="1183"/>
      <c r="E183" s="1116"/>
      <c r="F183" s="1116"/>
      <c r="G183" s="1116"/>
      <c r="H183" s="1116"/>
      <c r="I183" s="1116"/>
      <c r="J183" s="1116"/>
      <c r="K183" s="1116"/>
      <c r="L183" s="1116"/>
      <c r="M183" s="1116"/>
      <c r="N183" s="1116"/>
      <c r="O183" s="1116"/>
      <c r="P183" s="1116"/>
      <c r="Q183" s="1116"/>
      <c r="R183" s="1116"/>
      <c r="S183" s="1116"/>
      <c r="T183" s="1116"/>
      <c r="U183" s="1116"/>
      <c r="V183" s="1116"/>
      <c r="W183" s="1116"/>
      <c r="X183" s="1116"/>
      <c r="Y183" s="1116"/>
      <c r="Z183" s="1116"/>
      <c r="AA183" s="1116"/>
      <c r="AB183" s="1116"/>
    </row>
    <row r="184" spans="1:32" ht="13.35" customHeight="1">
      <c r="A184" s="1356" t="s">
        <v>1373</v>
      </c>
      <c r="B184" s="1329"/>
      <c r="C184" s="1329"/>
      <c r="D184" s="1329"/>
      <c r="E184" s="1116"/>
      <c r="F184" s="1116"/>
      <c r="G184" s="1116"/>
      <c r="H184" s="1116"/>
      <c r="I184" s="1116"/>
      <c r="J184" s="1116"/>
      <c r="K184" s="1116"/>
      <c r="L184" s="1116"/>
      <c r="M184" s="1116"/>
      <c r="N184" s="1116"/>
      <c r="O184" s="1116"/>
      <c r="P184" s="1116"/>
      <c r="Q184" s="1116"/>
      <c r="R184" s="1116">
        <v>4939583</v>
      </c>
      <c r="S184" s="1116">
        <v>5061000</v>
      </c>
      <c r="T184" s="1116">
        <v>5300000</v>
      </c>
      <c r="U184" s="1116">
        <v>5966000</v>
      </c>
      <c r="V184" s="1116">
        <v>6076000</v>
      </c>
      <c r="W184" s="1116">
        <v>5683000</v>
      </c>
      <c r="X184" s="1116">
        <v>5708000</v>
      </c>
      <c r="Y184" s="1116">
        <v>5593000</v>
      </c>
      <c r="Z184" s="1116">
        <v>5627000</v>
      </c>
      <c r="AA184" s="1116">
        <v>5658000</v>
      </c>
      <c r="AB184" s="1116">
        <v>5718000</v>
      </c>
    </row>
    <row r="185" spans="1:32" ht="13.35" customHeight="1">
      <c r="A185" s="1356"/>
      <c r="B185" s="1329"/>
      <c r="C185" s="1329"/>
      <c r="D185" s="1329"/>
      <c r="E185" s="1116"/>
      <c r="F185" s="1116"/>
      <c r="G185" s="1116"/>
      <c r="H185" s="1116"/>
      <c r="I185" s="1116"/>
      <c r="J185" s="1116"/>
      <c r="K185" s="1116"/>
      <c r="L185" s="1116"/>
      <c r="M185" s="1116"/>
      <c r="N185" s="1116"/>
      <c r="O185" s="1116"/>
      <c r="P185" s="1116"/>
      <c r="Q185" s="1116"/>
      <c r="R185" s="1116"/>
      <c r="S185" s="1116"/>
      <c r="T185" s="1116"/>
      <c r="U185" s="1116"/>
      <c r="V185" s="1116"/>
      <c r="W185" s="1116"/>
      <c r="X185" s="1116"/>
      <c r="Y185" s="1116"/>
      <c r="Z185" s="1116"/>
      <c r="AA185" s="1116"/>
      <c r="AB185" s="1116"/>
      <c r="AF185" s="5"/>
    </row>
    <row r="186" spans="1:32" ht="13.35" customHeight="1">
      <c r="A186" s="1356" t="s">
        <v>1423</v>
      </c>
      <c r="B186" s="1329"/>
      <c r="C186" s="1329"/>
      <c r="D186" s="1329"/>
      <c r="E186" s="1116"/>
      <c r="F186" s="1116"/>
      <c r="G186" s="1116"/>
      <c r="H186" s="1116"/>
      <c r="I186" s="1116"/>
      <c r="J186" s="1116"/>
      <c r="K186" s="1116"/>
      <c r="L186" s="1116"/>
      <c r="M186" s="1116"/>
      <c r="N186" s="1116"/>
      <c r="O186" s="1116"/>
      <c r="P186" s="1116"/>
      <c r="Q186" s="1116"/>
      <c r="R186" s="1116">
        <v>4143737</v>
      </c>
      <c r="S186" s="1116">
        <v>4149000</v>
      </c>
      <c r="T186" s="1116">
        <v>4263000</v>
      </c>
      <c r="U186" s="1116">
        <v>4775000</v>
      </c>
      <c r="V186" s="1116">
        <v>4721000</v>
      </c>
      <c r="W186" s="1116">
        <v>4387000</v>
      </c>
      <c r="X186" s="1116">
        <v>4257000</v>
      </c>
      <c r="Y186" s="1116">
        <v>4055000</v>
      </c>
      <c r="Z186" s="1116">
        <v>3929000</v>
      </c>
      <c r="AA186" s="1116">
        <v>3786000</v>
      </c>
      <c r="AB186" s="1116">
        <v>3646000</v>
      </c>
      <c r="AF186" s="5"/>
    </row>
    <row r="187" spans="1:32" ht="13.35" customHeight="1">
      <c r="A187" s="1356"/>
      <c r="B187" s="1329"/>
      <c r="C187" s="1329"/>
      <c r="D187" s="1329"/>
      <c r="E187" s="1116"/>
      <c r="F187" s="1116"/>
      <c r="G187" s="1116"/>
      <c r="H187" s="1116"/>
      <c r="I187" s="1116"/>
      <c r="J187" s="1116"/>
      <c r="K187" s="1116"/>
      <c r="L187" s="1116"/>
      <c r="M187" s="1116"/>
      <c r="N187" s="1116"/>
      <c r="O187" s="1116"/>
      <c r="P187" s="1116"/>
      <c r="Q187" s="1116"/>
      <c r="R187" s="1116"/>
      <c r="S187" s="1116"/>
      <c r="T187" s="1116"/>
      <c r="U187" s="1116"/>
      <c r="V187" s="1116"/>
      <c r="W187" s="1116"/>
      <c r="X187" s="1116"/>
      <c r="Y187" s="1116"/>
      <c r="Z187" s="1116"/>
      <c r="AA187" s="1116"/>
      <c r="AB187" s="1116"/>
    </row>
    <row r="188" spans="1:32" ht="13.35" customHeight="1">
      <c r="A188" s="1356" t="s">
        <v>1374</v>
      </c>
      <c r="B188" s="1329"/>
      <c r="C188" s="1329"/>
      <c r="D188" s="1329"/>
      <c r="E188" s="1116"/>
      <c r="F188" s="1116"/>
      <c r="G188" s="1116"/>
      <c r="H188" s="1116"/>
      <c r="I188" s="1116"/>
      <c r="J188" s="1116"/>
      <c r="K188" s="1116"/>
      <c r="L188" s="1116"/>
      <c r="M188" s="1116"/>
      <c r="N188" s="1116"/>
      <c r="O188" s="1116"/>
      <c r="P188" s="1116"/>
      <c r="Q188" s="1116">
        <v>-150756</v>
      </c>
      <c r="R188" s="1116">
        <v>140503</v>
      </c>
      <c r="S188" s="1116">
        <v>162000</v>
      </c>
      <c r="T188" s="1116">
        <v>162000</v>
      </c>
      <c r="U188" s="1116">
        <v>161000</v>
      </c>
      <c r="V188" s="1116">
        <v>166000</v>
      </c>
      <c r="W188" s="1116">
        <v>161000</v>
      </c>
      <c r="X188" s="1116">
        <v>158000</v>
      </c>
      <c r="Y188" s="1116">
        <v>167000</v>
      </c>
      <c r="Z188" s="1116">
        <v>160000</v>
      </c>
      <c r="AA188" s="1116">
        <v>177000</v>
      </c>
      <c r="AB188" s="1116">
        <v>200000</v>
      </c>
      <c r="AF188" s="5"/>
    </row>
    <row r="189" spans="1:32" ht="13.35" customHeight="1">
      <c r="A189" s="1356"/>
      <c r="B189" s="1329"/>
      <c r="C189" s="1329"/>
      <c r="D189" s="1329"/>
      <c r="E189" s="1116"/>
      <c r="F189" s="1116"/>
      <c r="G189" s="1116"/>
      <c r="H189" s="1116"/>
      <c r="I189" s="1116"/>
      <c r="J189" s="1116"/>
      <c r="K189" s="1116"/>
      <c r="L189" s="1116"/>
      <c r="M189" s="1116"/>
      <c r="N189" s="1116"/>
      <c r="O189" s="1116"/>
      <c r="P189" s="1116"/>
      <c r="Q189" s="1116"/>
      <c r="R189" s="1116"/>
      <c r="S189" s="1116"/>
      <c r="T189" s="1116"/>
      <c r="U189" s="1116"/>
      <c r="V189" s="1116"/>
      <c r="W189" s="1116"/>
      <c r="X189" s="1116"/>
      <c r="Y189" s="1116"/>
      <c r="Z189" s="1116"/>
      <c r="AA189" s="1116"/>
      <c r="AB189" s="1116"/>
    </row>
    <row r="190" spans="1:32" ht="13.35" customHeight="1">
      <c r="A190" s="1356" t="s">
        <v>1376</v>
      </c>
      <c r="B190" s="1376"/>
      <c r="C190" s="1376"/>
      <c r="D190" s="1376"/>
      <c r="E190" s="1116"/>
      <c r="F190" s="1116"/>
      <c r="G190" s="1116"/>
      <c r="H190" s="1116"/>
      <c r="I190" s="1116"/>
      <c r="J190" s="1116"/>
      <c r="K190" s="1116"/>
      <c r="L190" s="1116"/>
      <c r="M190" s="1116"/>
      <c r="N190" s="1116"/>
      <c r="O190" s="1116"/>
      <c r="P190" s="1116"/>
      <c r="Q190" s="1116"/>
      <c r="R190" s="440"/>
      <c r="S190" s="440"/>
      <c r="T190" s="440"/>
      <c r="U190" s="440"/>
      <c r="V190" s="440"/>
      <c r="W190" s="440"/>
      <c r="X190" s="440"/>
      <c r="Y190" s="440"/>
      <c r="Z190" s="440"/>
      <c r="AA190" s="440"/>
      <c r="AB190" s="440"/>
    </row>
    <row r="191" spans="1:32" ht="13.35" customHeight="1">
      <c r="A191" s="1120" t="s">
        <v>1353</v>
      </c>
      <c r="B191" s="1161" t="s">
        <v>1375</v>
      </c>
      <c r="C191" s="1329"/>
      <c r="D191" s="1329"/>
      <c r="E191" s="1116"/>
      <c r="F191" s="1116"/>
      <c r="G191" s="1116"/>
      <c r="H191" s="1116"/>
      <c r="I191" s="1116"/>
      <c r="J191" s="1116"/>
      <c r="K191" s="1116"/>
      <c r="L191" s="1116"/>
      <c r="M191" s="1116"/>
      <c r="N191" s="1116"/>
      <c r="O191" s="1116"/>
      <c r="P191" s="1116"/>
      <c r="Q191" s="1116"/>
      <c r="R191" s="177">
        <v>0.4467302243396496</v>
      </c>
      <c r="S191" s="177">
        <v>0.41264436271156429</v>
      </c>
      <c r="T191" s="177">
        <v>0.40062744178777931</v>
      </c>
      <c r="U191" s="177">
        <v>0.38966636266909865</v>
      </c>
      <c r="V191" s="177">
        <v>0.38573803791754441</v>
      </c>
      <c r="W191" s="177">
        <v>0.41739091501139691</v>
      </c>
      <c r="X191" s="177">
        <v>0.41057254964766177</v>
      </c>
      <c r="Y191" s="177">
        <v>0.43524872665534803</v>
      </c>
      <c r="Z191" s="177">
        <v>0.43057020490426606</v>
      </c>
      <c r="AA191" s="177">
        <v>0.42479121789560897</v>
      </c>
      <c r="AB191" s="177">
        <v>0.41455611254851227</v>
      </c>
    </row>
    <row r="192" spans="1:32" ht="13.35" customHeight="1">
      <c r="A192" s="1161" t="s">
        <v>1354</v>
      </c>
      <c r="B192" s="1161" t="s">
        <v>1355</v>
      </c>
      <c r="C192" s="1329"/>
      <c r="D192" s="1329"/>
      <c r="E192" s="1116"/>
      <c r="F192" s="1116"/>
      <c r="G192" s="1116"/>
      <c r="H192" s="1116"/>
      <c r="I192" s="1116"/>
      <c r="J192" s="1116"/>
      <c r="K192" s="1116"/>
      <c r="L192" s="1116"/>
      <c r="M192" s="1116"/>
      <c r="N192" s="1116"/>
      <c r="O192" s="1116"/>
      <c r="P192" s="1116"/>
      <c r="Q192" s="177"/>
      <c r="R192" s="177">
        <v>0.53257538662698478</v>
      </c>
      <c r="S192" s="177">
        <v>0.4965359287236103</v>
      </c>
      <c r="T192" s="177">
        <v>0.49605553405572755</v>
      </c>
      <c r="U192" s="177">
        <v>0.49490637065637066</v>
      </c>
      <c r="V192" s="177">
        <v>0.5048473808586057</v>
      </c>
      <c r="W192" s="177">
        <v>0.54556607788891254</v>
      </c>
      <c r="X192" s="177">
        <v>0.5559780958577315</v>
      </c>
      <c r="Y192" s="177">
        <v>0.60277803903127203</v>
      </c>
      <c r="Z192" s="177">
        <v>0.62133179835191465</v>
      </c>
      <c r="AA192" s="177">
        <v>0.63676477893691008</v>
      </c>
      <c r="AB192" s="177">
        <v>0.64721408735167885</v>
      </c>
    </row>
    <row r="193" spans="1:29" ht="13.35" customHeight="1">
      <c r="A193" s="1120" t="s">
        <v>1356</v>
      </c>
      <c r="B193" s="1161" t="s">
        <v>1266</v>
      </c>
      <c r="C193" s="1329"/>
      <c r="D193" s="1329"/>
      <c r="E193" s="1116"/>
      <c r="F193" s="1116"/>
      <c r="G193" s="1116"/>
      <c r="H193" s="1116"/>
      <c r="I193" s="1116"/>
      <c r="J193" s="1116"/>
      <c r="K193" s="1116"/>
      <c r="L193" s="1116"/>
      <c r="M193" s="1116"/>
      <c r="N193" s="1116"/>
      <c r="O193" s="1116"/>
      <c r="P193" s="1116"/>
      <c r="Q193" s="1116"/>
      <c r="R193" s="177">
        <v>0.51899421469383145</v>
      </c>
      <c r="S193" s="177">
        <v>0.50654317328591192</v>
      </c>
      <c r="T193" s="177">
        <v>0.48370094339622643</v>
      </c>
      <c r="U193" s="177">
        <v>0.4297041568890379</v>
      </c>
      <c r="V193" s="177">
        <v>0.42192478604344963</v>
      </c>
      <c r="W193" s="177">
        <v>0.45110241069857471</v>
      </c>
      <c r="X193" s="177">
        <v>0.44912666433076381</v>
      </c>
      <c r="Y193" s="177">
        <v>0.45836134453781513</v>
      </c>
      <c r="Z193" s="177">
        <v>0.455591789585925</v>
      </c>
      <c r="AA193" s="177">
        <v>0.45309561682573346</v>
      </c>
      <c r="AB193" s="177">
        <v>0.44834120321790838</v>
      </c>
    </row>
    <row r="194" spans="1:29" ht="13.35" customHeight="1">
      <c r="A194" s="1121"/>
      <c r="B194" s="1121"/>
      <c r="C194" s="1121"/>
      <c r="D194" s="1121"/>
      <c r="E194" s="1116"/>
      <c r="F194" s="1116"/>
      <c r="G194" s="1116"/>
      <c r="H194" s="1116"/>
      <c r="I194" s="1116"/>
      <c r="J194" s="1116"/>
      <c r="K194" s="1116"/>
      <c r="L194" s="1116"/>
      <c r="M194" s="1116"/>
      <c r="N194" s="1116"/>
      <c r="O194" s="1116"/>
      <c r="P194" s="1116"/>
      <c r="Q194" s="1116"/>
      <c r="R194" s="1116"/>
      <c r="S194" s="1116"/>
      <c r="T194" s="1116"/>
      <c r="U194" s="1116"/>
      <c r="V194" s="1116"/>
      <c r="W194" s="1116"/>
      <c r="X194" s="1116"/>
      <c r="Y194" s="1116"/>
      <c r="Z194" s="1116"/>
      <c r="AA194" s="1116"/>
      <c r="AB194" s="1116"/>
    </row>
    <row r="195" spans="1:29" ht="13.35" customHeight="1">
      <c r="A195" s="1120" t="s">
        <v>1356</v>
      </c>
      <c r="B195" s="1262" t="s">
        <v>1377</v>
      </c>
      <c r="C195" s="1376"/>
      <c r="D195" s="1376"/>
      <c r="E195" s="1116"/>
      <c r="F195" s="1116"/>
      <c r="G195" s="1116"/>
      <c r="H195" s="1116"/>
      <c r="I195" s="1116"/>
      <c r="J195" s="1116"/>
      <c r="K195" s="1116"/>
      <c r="L195" s="1116"/>
      <c r="M195" s="1116"/>
      <c r="N195" s="1116"/>
      <c r="O195" s="1116"/>
      <c r="P195" s="1116"/>
      <c r="Q195" s="1116"/>
      <c r="R195" s="1116"/>
      <c r="S195" s="1116"/>
      <c r="T195" s="1116"/>
      <c r="U195" s="1116"/>
      <c r="V195" s="1116"/>
      <c r="W195" s="1116"/>
      <c r="X195" s="1116"/>
      <c r="Y195" s="1116"/>
      <c r="Z195" s="1116"/>
      <c r="AA195" s="1116"/>
      <c r="AB195" s="1116"/>
    </row>
    <row r="196" spans="1:29" ht="13.35" customHeight="1">
      <c r="A196" s="1356" t="s">
        <v>1268</v>
      </c>
      <c r="B196" s="1329"/>
      <c r="C196" s="1329"/>
      <c r="D196" s="1329"/>
      <c r="E196" s="1116"/>
      <c r="F196" s="1116"/>
      <c r="G196" s="1116"/>
      <c r="H196" s="1116"/>
      <c r="I196" s="1116"/>
      <c r="J196" s="1116"/>
      <c r="K196" s="1116"/>
      <c r="L196" s="1116"/>
      <c r="M196" s="1116"/>
      <c r="N196" s="1116"/>
      <c r="O196" s="1116"/>
      <c r="P196" s="1116"/>
      <c r="Q196" s="1116"/>
      <c r="R196" s="1115">
        <v>72920.244147127407</v>
      </c>
      <c r="S196" s="1115">
        <v>82059.994072317728</v>
      </c>
      <c r="T196" s="1115">
        <v>78359.552830188681</v>
      </c>
      <c r="U196" s="1115">
        <v>69182.369259135099</v>
      </c>
      <c r="V196" s="1115">
        <v>70039.514483212639</v>
      </c>
      <c r="W196" s="1115">
        <v>72627.488122470531</v>
      </c>
      <c r="X196" s="1115">
        <v>70962.012964260677</v>
      </c>
      <c r="Y196" s="1115">
        <v>76546.344537815123</v>
      </c>
      <c r="Z196" s="1115">
        <v>72894.686333748003</v>
      </c>
      <c r="AA196" s="1115">
        <v>80197.924178154819</v>
      </c>
      <c r="AB196" s="1115">
        <v>89668.240643581681</v>
      </c>
    </row>
    <row r="197" spans="1:29" ht="13.35" customHeight="1">
      <c r="A197" s="1356" t="s">
        <v>1269</v>
      </c>
      <c r="B197" s="1329"/>
      <c r="C197" s="1329"/>
      <c r="D197" s="1329"/>
      <c r="E197" s="1116"/>
      <c r="F197" s="1116"/>
      <c r="G197" s="1116"/>
      <c r="H197" s="1116"/>
      <c r="I197" s="1116"/>
      <c r="J197" s="1116"/>
      <c r="K197" s="1116"/>
      <c r="L197" s="1116"/>
      <c r="M197" s="1116"/>
      <c r="N197" s="1116"/>
      <c r="O197" s="1116"/>
      <c r="P197" s="1116"/>
      <c r="Q197" s="1116"/>
      <c r="R197" s="1116">
        <v>67582.755852872593</v>
      </c>
      <c r="S197" s="1116">
        <v>79940.005927682272</v>
      </c>
      <c r="T197" s="1116">
        <v>83640.447169811319</v>
      </c>
      <c r="U197" s="1116">
        <v>91817.630740864901</v>
      </c>
      <c r="V197" s="1116">
        <v>95960.485516787361</v>
      </c>
      <c r="W197" s="1116">
        <v>88372.511877529469</v>
      </c>
      <c r="X197" s="1116">
        <v>87037.987035739323</v>
      </c>
      <c r="Y197" s="1116">
        <v>90453.655462184877</v>
      </c>
      <c r="Z197" s="1116">
        <v>87105.313666251997</v>
      </c>
      <c r="AA197" s="1116">
        <v>96802.075821845181</v>
      </c>
      <c r="AB197" s="1116">
        <v>110331.75935641832</v>
      </c>
    </row>
    <row r="198" spans="1:29" ht="13.35" customHeight="1" thickBot="1">
      <c r="A198" s="1355" t="s">
        <v>1270</v>
      </c>
      <c r="B198" s="1183"/>
      <c r="C198" s="1183"/>
      <c r="D198" s="1183"/>
      <c r="E198" s="1116"/>
      <c r="F198" s="1116"/>
      <c r="G198" s="1116"/>
      <c r="H198" s="1116"/>
      <c r="I198" s="1116"/>
      <c r="J198" s="1116"/>
      <c r="K198" s="1116"/>
      <c r="L198" s="1116"/>
      <c r="M198" s="1116"/>
      <c r="N198" s="1116"/>
      <c r="O198" s="1116"/>
      <c r="P198" s="1116"/>
      <c r="Q198" s="1190">
        <v>0</v>
      </c>
      <c r="R198" s="1190">
        <v>140503</v>
      </c>
      <c r="S198" s="1190">
        <v>162000</v>
      </c>
      <c r="T198" s="1190">
        <v>162000</v>
      </c>
      <c r="U198" s="1190">
        <v>161000</v>
      </c>
      <c r="V198" s="1190">
        <v>166000</v>
      </c>
      <c r="W198" s="1190">
        <v>161000</v>
      </c>
      <c r="X198" s="1190">
        <v>158000</v>
      </c>
      <c r="Y198" s="1190">
        <v>167000</v>
      </c>
      <c r="Z198" s="1190">
        <v>160000</v>
      </c>
      <c r="AA198" s="1190">
        <v>177000</v>
      </c>
      <c r="AB198" s="1190">
        <v>200000</v>
      </c>
    </row>
    <row r="199" spans="1:29" ht="13.35" customHeight="1" thickTop="1">
      <c r="A199" s="1355"/>
      <c r="B199" s="1183"/>
      <c r="C199" s="1183"/>
      <c r="D199" s="1183"/>
      <c r="E199" s="1116"/>
      <c r="F199" s="1116"/>
      <c r="G199" s="1116"/>
      <c r="H199" s="1116"/>
      <c r="I199" s="1116"/>
      <c r="J199" s="1116"/>
      <c r="K199" s="1116"/>
      <c r="L199" s="1116"/>
      <c r="M199" s="1116"/>
      <c r="N199" s="1116"/>
      <c r="O199" s="1116"/>
      <c r="P199" s="1116"/>
      <c r="Q199" s="1149"/>
      <c r="R199" s="1149"/>
      <c r="S199" s="1149"/>
      <c r="T199" s="1149"/>
      <c r="U199" s="1149"/>
      <c r="V199" s="1149"/>
      <c r="W199" s="1149"/>
      <c r="X199" s="1149"/>
      <c r="Y199" s="1149"/>
      <c r="Z199" s="1149"/>
      <c r="AA199" s="1149"/>
      <c r="AB199" s="1149"/>
    </row>
    <row r="200" spans="1:29" ht="18">
      <c r="E200" s="1276"/>
      <c r="F200" s="740">
        <v>1999</v>
      </c>
      <c r="G200" s="740">
        <v>2000</v>
      </c>
      <c r="H200" s="740">
        <v>2001</v>
      </c>
      <c r="I200" s="740">
        <v>2002</v>
      </c>
      <c r="J200" s="740">
        <v>2003</v>
      </c>
      <c r="K200" s="740">
        <v>2004</v>
      </c>
      <c r="L200" s="740">
        <v>2005</v>
      </c>
      <c r="M200" s="740">
        <v>2006</v>
      </c>
      <c r="N200" s="740">
        <v>2007</v>
      </c>
      <c r="O200" s="740">
        <v>2008</v>
      </c>
      <c r="P200" s="740">
        <v>2009</v>
      </c>
      <c r="Q200" s="1174"/>
      <c r="W200" s="1570" t="s">
        <v>5</v>
      </c>
      <c r="X200" s="1570"/>
      <c r="Y200" s="1570"/>
      <c r="Z200" s="1570"/>
      <c r="AA200" s="1571"/>
      <c r="AB200" s="1266">
        <v>3.6</v>
      </c>
    </row>
    <row r="201" spans="1:29">
      <c r="E201" s="1276"/>
      <c r="F201" s="740"/>
      <c r="G201" s="740"/>
      <c r="H201" s="740"/>
      <c r="I201" s="740"/>
      <c r="J201" s="740"/>
      <c r="K201" s="740"/>
      <c r="L201" s="740"/>
      <c r="M201" s="740"/>
      <c r="N201" s="740"/>
      <c r="O201" s="740"/>
      <c r="P201" s="740"/>
      <c r="Q201" s="1174"/>
      <c r="R201" s="34">
        <v>0</v>
      </c>
      <c r="S201" s="34">
        <v>1</v>
      </c>
      <c r="T201" s="34">
        <v>2</v>
      </c>
      <c r="U201" s="34">
        <v>3</v>
      </c>
      <c r="V201" s="34">
        <v>4</v>
      </c>
      <c r="W201" s="34">
        <v>5</v>
      </c>
      <c r="X201" s="34">
        <v>6</v>
      </c>
      <c r="Y201" s="34">
        <v>7</v>
      </c>
      <c r="Z201" s="34">
        <v>8</v>
      </c>
      <c r="AA201" s="34">
        <v>9</v>
      </c>
      <c r="AB201" s="34">
        <v>10</v>
      </c>
    </row>
    <row r="202" spans="1:29">
      <c r="E202" s="1276" t="s">
        <v>44</v>
      </c>
      <c r="F202" s="740">
        <v>1999</v>
      </c>
      <c r="G202" s="740">
        <v>2000</v>
      </c>
      <c r="H202" s="740">
        <v>2001</v>
      </c>
      <c r="I202" s="740">
        <v>2002</v>
      </c>
      <c r="J202" s="740">
        <v>2003</v>
      </c>
      <c r="K202" s="740">
        <v>2004</v>
      </c>
      <c r="L202" s="740">
        <v>2005</v>
      </c>
      <c r="M202" s="740">
        <v>2006</v>
      </c>
      <c r="N202" s="740">
        <v>2007</v>
      </c>
      <c r="O202" s="740">
        <v>2008</v>
      </c>
      <c r="P202" s="740">
        <v>2009</v>
      </c>
      <c r="Q202" s="740">
        <v>2010</v>
      </c>
      <c r="R202" s="980">
        <v>2011</v>
      </c>
      <c r="S202" s="980">
        <v>2012</v>
      </c>
      <c r="T202" s="980">
        <v>2013</v>
      </c>
      <c r="U202" s="980">
        <v>2014</v>
      </c>
      <c r="V202" s="980">
        <v>2015</v>
      </c>
      <c r="W202" s="980">
        <v>2016</v>
      </c>
      <c r="X202" s="980">
        <v>2017</v>
      </c>
      <c r="Y202" s="980">
        <v>2018</v>
      </c>
      <c r="Z202" s="980">
        <v>2019</v>
      </c>
      <c r="AA202" s="980">
        <v>2020</v>
      </c>
      <c r="AB202" s="980">
        <v>2021</v>
      </c>
    </row>
    <row r="203" spans="1:29">
      <c r="A203" s="520" t="s">
        <v>5</v>
      </c>
      <c r="B203" s="745"/>
      <c r="C203" s="753"/>
      <c r="D203" s="753"/>
      <c r="E203" s="34"/>
      <c r="F203" s="1276" t="s">
        <v>46</v>
      </c>
      <c r="G203" s="34"/>
      <c r="H203" s="34"/>
      <c r="I203" s="631"/>
      <c r="J203" s="631"/>
      <c r="K203" s="631"/>
      <c r="L203" s="760"/>
      <c r="M203" s="631"/>
      <c r="N203" s="631"/>
      <c r="O203" s="631"/>
      <c r="P203" s="713"/>
      <c r="Q203" s="1210"/>
      <c r="R203" s="1159"/>
      <c r="S203" s="1159"/>
      <c r="T203" s="1159"/>
      <c r="U203" s="1159"/>
      <c r="V203" s="1159"/>
      <c r="W203" s="1159"/>
      <c r="X203" s="1159"/>
      <c r="Y203" s="1159"/>
      <c r="Z203" s="1159"/>
      <c r="AA203" s="1159"/>
      <c r="AB203" s="1159"/>
      <c r="AC203" s="1158"/>
    </row>
    <row r="204" spans="1:29">
      <c r="A204" s="616"/>
      <c r="B204" s="613" t="s">
        <v>1156</v>
      </c>
      <c r="C204" s="707"/>
      <c r="D204" s="707"/>
      <c r="E204" s="34"/>
      <c r="F204" s="616"/>
      <c r="G204" s="616"/>
      <c r="H204" s="616"/>
      <c r="I204" s="616"/>
      <c r="J204" s="616"/>
      <c r="K204" s="616"/>
      <c r="L204" s="616"/>
      <c r="M204" s="616">
        <v>11303</v>
      </c>
      <c r="N204" s="616">
        <v>14751</v>
      </c>
      <c r="O204" s="616">
        <v>20276</v>
      </c>
      <c r="P204" s="616">
        <v>34572</v>
      </c>
      <c r="Q204" s="616">
        <v>60425</v>
      </c>
      <c r="R204" s="616">
        <v>150553</v>
      </c>
      <c r="S204" s="616">
        <v>195000</v>
      </c>
      <c r="T204" s="616">
        <v>264000</v>
      </c>
      <c r="U204" s="616">
        <v>341000</v>
      </c>
      <c r="V204" s="616">
        <v>370000</v>
      </c>
      <c r="W204" s="616">
        <v>405000</v>
      </c>
      <c r="X204" s="616">
        <v>442000</v>
      </c>
      <c r="Y204" s="616">
        <v>447000</v>
      </c>
      <c r="Z204" s="616">
        <v>467000</v>
      </c>
      <c r="AA204" s="616">
        <v>482000</v>
      </c>
      <c r="AB204" s="616">
        <v>501000</v>
      </c>
    </row>
    <row r="205" spans="1:29">
      <c r="A205" s="616"/>
      <c r="B205" s="34" t="s">
        <v>225</v>
      </c>
      <c r="C205" s="707"/>
      <c r="D205" s="707"/>
      <c r="E205" s="34"/>
      <c r="F205" s="702"/>
      <c r="G205" s="702"/>
      <c r="H205" s="702"/>
      <c r="I205" s="702"/>
      <c r="J205" s="702"/>
      <c r="K205" s="702"/>
      <c r="L205" s="702"/>
      <c r="M205" s="702">
        <v>-7689</v>
      </c>
      <c r="N205" s="702">
        <v>-9921</v>
      </c>
      <c r="O205" s="702">
        <v>-13428</v>
      </c>
      <c r="P205" s="702">
        <v>-20759</v>
      </c>
      <c r="Q205" s="702">
        <v>-45420</v>
      </c>
      <c r="R205" s="702">
        <v>-24888</v>
      </c>
      <c r="S205" s="702">
        <v>-41000</v>
      </c>
      <c r="T205" s="702">
        <v>-55000</v>
      </c>
      <c r="U205" s="702">
        <v>-67000</v>
      </c>
      <c r="V205" s="702">
        <v>-92000</v>
      </c>
      <c r="W205" s="702">
        <v>-118000</v>
      </c>
      <c r="X205" s="702">
        <v>-150000</v>
      </c>
      <c r="Y205" s="702">
        <v>-185000</v>
      </c>
      <c r="Z205" s="702">
        <v>-221000</v>
      </c>
      <c r="AA205" s="702">
        <v>-256000</v>
      </c>
      <c r="AB205" s="702">
        <v>-296000</v>
      </c>
    </row>
    <row r="206" spans="1:29">
      <c r="A206" s="616"/>
      <c r="B206" s="34" t="s">
        <v>229</v>
      </c>
      <c r="C206" s="707"/>
      <c r="D206" s="707"/>
      <c r="E206" s="34"/>
      <c r="F206" s="616"/>
      <c r="G206" s="616"/>
      <c r="H206" s="616"/>
      <c r="I206" s="616"/>
      <c r="J206" s="616"/>
      <c r="K206" s="616"/>
      <c r="L206" s="616"/>
      <c r="M206" s="616">
        <v>3614</v>
      </c>
      <c r="N206" s="616">
        <v>4830</v>
      </c>
      <c r="O206" s="616">
        <v>6848</v>
      </c>
      <c r="P206" s="616">
        <v>13813</v>
      </c>
      <c r="Q206" s="616">
        <v>15005</v>
      </c>
      <c r="R206" s="616">
        <v>125665</v>
      </c>
      <c r="S206" s="616">
        <v>154000</v>
      </c>
      <c r="T206" s="616">
        <v>209000</v>
      </c>
      <c r="U206" s="616">
        <v>274000</v>
      </c>
      <c r="V206" s="616">
        <v>278000</v>
      </c>
      <c r="W206" s="616">
        <v>287000</v>
      </c>
      <c r="X206" s="616">
        <v>292000</v>
      </c>
      <c r="Y206" s="616">
        <v>262000</v>
      </c>
      <c r="Z206" s="616">
        <v>246000</v>
      </c>
      <c r="AA206" s="616">
        <v>226000</v>
      </c>
      <c r="AB206" s="616">
        <v>205000</v>
      </c>
    </row>
    <row r="207" spans="1:29">
      <c r="A207" s="616"/>
      <c r="B207" s="34"/>
      <c r="C207" s="707"/>
      <c r="D207" s="707"/>
      <c r="E207" s="34"/>
      <c r="F207" s="616"/>
      <c r="G207" s="616"/>
      <c r="H207" s="616"/>
      <c r="I207" s="616"/>
      <c r="J207" s="616"/>
      <c r="K207" s="616"/>
      <c r="L207" s="616"/>
      <c r="M207" s="616"/>
      <c r="N207" s="616"/>
      <c r="O207" s="616"/>
      <c r="P207" s="616"/>
      <c r="Q207" s="616"/>
      <c r="R207" s="616"/>
      <c r="S207" s="616"/>
      <c r="T207" s="616"/>
      <c r="U207" s="616"/>
      <c r="V207" s="616"/>
      <c r="W207" s="616"/>
      <c r="X207" s="616"/>
      <c r="Y207" s="616"/>
      <c r="Z207" s="616"/>
      <c r="AA207" s="616"/>
      <c r="AB207" s="616"/>
    </row>
    <row r="208" spans="1:29">
      <c r="A208" s="616"/>
      <c r="B208" s="613" t="s">
        <v>14</v>
      </c>
      <c r="C208" s="707"/>
      <c r="D208" s="707"/>
      <c r="E208" s="34"/>
      <c r="F208" s="616"/>
      <c r="G208" s="616"/>
      <c r="H208" s="616"/>
      <c r="I208" s="616"/>
      <c r="J208" s="616"/>
      <c r="K208" s="616"/>
      <c r="L208" s="616"/>
      <c r="M208" s="616"/>
      <c r="N208" s="616">
        <v>0</v>
      </c>
      <c r="O208" s="616">
        <v>0</v>
      </c>
      <c r="P208" s="616">
        <v>0</v>
      </c>
      <c r="Q208" s="616">
        <v>0</v>
      </c>
      <c r="R208" s="616"/>
      <c r="S208" s="616"/>
      <c r="T208" s="616">
        <v>35000</v>
      </c>
      <c r="U208" s="616">
        <v>35000</v>
      </c>
      <c r="V208" s="616"/>
      <c r="W208" s="616"/>
      <c r="X208" s="616"/>
      <c r="Y208" s="616"/>
      <c r="Z208" s="616">
        <v>0</v>
      </c>
      <c r="AA208" s="616">
        <v>1000</v>
      </c>
      <c r="AB208" s="616">
        <v>9000</v>
      </c>
    </row>
    <row r="209" spans="1:28">
      <c r="A209" s="616"/>
      <c r="B209" s="34" t="s">
        <v>225</v>
      </c>
      <c r="C209" s="707"/>
      <c r="D209" s="707"/>
      <c r="E209" s="34"/>
      <c r="F209" s="702"/>
      <c r="G209" s="702"/>
      <c r="H209" s="702"/>
      <c r="I209" s="702"/>
      <c r="J209" s="702"/>
      <c r="K209" s="702"/>
      <c r="L209" s="702"/>
      <c r="M209" s="702"/>
      <c r="N209" s="702">
        <v>0</v>
      </c>
      <c r="O209" s="702">
        <v>0</v>
      </c>
      <c r="P209" s="702">
        <v>0</v>
      </c>
      <c r="Q209" s="702">
        <v>0</v>
      </c>
      <c r="R209" s="702"/>
      <c r="S209" s="702"/>
      <c r="T209" s="702">
        <v>-2000</v>
      </c>
      <c r="U209" s="702">
        <v>-3000</v>
      </c>
      <c r="V209" s="702"/>
      <c r="W209" s="702"/>
      <c r="X209" s="702"/>
      <c r="Y209" s="702"/>
      <c r="Z209" s="702"/>
      <c r="AA209" s="702">
        <v>0</v>
      </c>
      <c r="AB209" s="702">
        <v>-1000</v>
      </c>
    </row>
    <row r="210" spans="1:28">
      <c r="A210" s="616"/>
      <c r="B210" s="34" t="s">
        <v>229</v>
      </c>
      <c r="C210" s="707"/>
      <c r="D210" s="707"/>
      <c r="E210" s="34"/>
      <c r="F210" s="616"/>
      <c r="G210" s="616"/>
      <c r="H210" s="616"/>
      <c r="I210" s="616"/>
      <c r="J210" s="616"/>
      <c r="K210" s="616"/>
      <c r="L210" s="616"/>
      <c r="M210" s="616"/>
      <c r="N210" s="616">
        <v>0</v>
      </c>
      <c r="O210" s="616">
        <v>0</v>
      </c>
      <c r="P210" s="616">
        <v>0</v>
      </c>
      <c r="Q210" s="616">
        <v>0</v>
      </c>
      <c r="R210" s="616">
        <v>0</v>
      </c>
      <c r="S210" s="616">
        <v>0</v>
      </c>
      <c r="T210" s="616">
        <v>33000</v>
      </c>
      <c r="U210" s="616">
        <v>32000</v>
      </c>
      <c r="V210" s="616">
        <v>0</v>
      </c>
      <c r="W210" s="616">
        <v>0</v>
      </c>
      <c r="X210" s="616">
        <v>0</v>
      </c>
      <c r="Y210" s="616">
        <v>0</v>
      </c>
      <c r="Z210" s="616">
        <v>0</v>
      </c>
      <c r="AA210" s="616">
        <v>1000</v>
      </c>
      <c r="AB210" s="616">
        <v>8000</v>
      </c>
    </row>
    <row r="211" spans="1:28">
      <c r="A211" s="616"/>
      <c r="B211" s="34"/>
      <c r="C211" s="707"/>
      <c r="D211" s="707"/>
      <c r="E211" s="34"/>
      <c r="F211" s="616"/>
      <c r="G211" s="616"/>
      <c r="H211" s="616"/>
      <c r="I211" s="616"/>
      <c r="J211" s="616"/>
      <c r="K211" s="616"/>
      <c r="L211" s="616"/>
      <c r="M211" s="616"/>
      <c r="N211" s="616"/>
      <c r="O211" s="616"/>
      <c r="P211" s="616"/>
      <c r="Q211" s="616"/>
      <c r="R211" s="616"/>
      <c r="S211" s="616"/>
      <c r="T211" s="616"/>
      <c r="U211" s="616"/>
      <c r="V211" s="616"/>
      <c r="W211" s="616"/>
      <c r="X211" s="616"/>
      <c r="Y211" s="616"/>
      <c r="Z211" s="616"/>
      <c r="AA211" s="616"/>
      <c r="AB211" s="616"/>
    </row>
    <row r="212" spans="1:28">
      <c r="A212" s="616"/>
      <c r="B212" s="613" t="s">
        <v>1157</v>
      </c>
      <c r="C212" s="616"/>
      <c r="D212" s="616"/>
      <c r="E212" s="34"/>
      <c r="F212" s="693">
        <v>17448</v>
      </c>
      <c r="G212" s="616">
        <v>17079</v>
      </c>
      <c r="H212" s="616"/>
      <c r="I212" s="616"/>
      <c r="J212" s="616"/>
      <c r="K212" s="616"/>
      <c r="L212" s="616"/>
      <c r="M212" s="616"/>
      <c r="N212" s="616">
        <v>6883</v>
      </c>
      <c r="O212" s="616">
        <v>6883</v>
      </c>
      <c r="P212" s="616">
        <v>6981</v>
      </c>
      <c r="Q212" s="616">
        <v>18101</v>
      </c>
      <c r="R212" s="616"/>
      <c r="S212" s="616"/>
      <c r="T212" s="616">
        <v>18000</v>
      </c>
      <c r="U212" s="616">
        <v>21000</v>
      </c>
      <c r="V212" s="616">
        <v>20000</v>
      </c>
      <c r="W212" s="616">
        <v>16000</v>
      </c>
      <c r="X212" s="616">
        <v>11000</v>
      </c>
      <c r="Y212" s="616">
        <v>10000</v>
      </c>
      <c r="Z212" s="616">
        <v>14000</v>
      </c>
      <c r="AA212" s="616">
        <v>3000</v>
      </c>
      <c r="AB212" s="616">
        <v>24000</v>
      </c>
    </row>
    <row r="213" spans="1:28">
      <c r="A213" s="616"/>
      <c r="B213" s="34" t="s">
        <v>225</v>
      </c>
      <c r="C213" s="616"/>
      <c r="D213" s="616"/>
      <c r="E213" s="34"/>
      <c r="F213" s="702">
        <v>-369</v>
      </c>
      <c r="G213" s="702">
        <v>-3073</v>
      </c>
      <c r="H213" s="702"/>
      <c r="I213" s="702"/>
      <c r="J213" s="702"/>
      <c r="K213" s="702"/>
      <c r="L213" s="702"/>
      <c r="M213" s="702"/>
      <c r="N213" s="702">
        <v>0</v>
      </c>
      <c r="O213" s="702">
        <v>0</v>
      </c>
      <c r="P213" s="702">
        <v>-25</v>
      </c>
      <c r="Q213" s="702">
        <v>-149</v>
      </c>
      <c r="R213" s="702"/>
      <c r="S213" s="702"/>
      <c r="T213" s="702"/>
      <c r="U213" s="702"/>
      <c r="V213" s="702"/>
      <c r="W213" s="702">
        <v>0</v>
      </c>
      <c r="X213" s="702">
        <v>0</v>
      </c>
      <c r="Y213" s="702">
        <v>0</v>
      </c>
      <c r="Z213" s="702">
        <v>0</v>
      </c>
      <c r="AA213" s="702">
        <v>0</v>
      </c>
      <c r="AB213" s="702">
        <v>0</v>
      </c>
    </row>
    <row r="214" spans="1:28">
      <c r="A214" s="616"/>
      <c r="B214" s="34" t="s">
        <v>229</v>
      </c>
      <c r="C214" s="616"/>
      <c r="D214" s="616"/>
      <c r="E214" s="34"/>
      <c r="F214" s="616">
        <v>17079</v>
      </c>
      <c r="G214" s="616">
        <v>14006</v>
      </c>
      <c r="H214" s="616">
        <v>0</v>
      </c>
      <c r="I214" s="616">
        <v>0</v>
      </c>
      <c r="J214" s="616">
        <v>0</v>
      </c>
      <c r="K214" s="616">
        <v>0</v>
      </c>
      <c r="L214" s="616">
        <v>0</v>
      </c>
      <c r="M214" s="616">
        <v>0</v>
      </c>
      <c r="N214" s="616">
        <v>6883</v>
      </c>
      <c r="O214" s="616">
        <v>6883</v>
      </c>
      <c r="P214" s="616">
        <v>6956</v>
      </c>
      <c r="Q214" s="616">
        <v>17952</v>
      </c>
      <c r="R214" s="616">
        <v>0</v>
      </c>
      <c r="S214" s="616">
        <v>0</v>
      </c>
      <c r="T214" s="616">
        <v>18000</v>
      </c>
      <c r="U214" s="616">
        <v>21000</v>
      </c>
      <c r="V214" s="616">
        <v>20000</v>
      </c>
      <c r="W214" s="616">
        <v>16000</v>
      </c>
      <c r="X214" s="616">
        <v>11000</v>
      </c>
      <c r="Y214" s="616">
        <v>10000</v>
      </c>
      <c r="Z214" s="616">
        <v>14000</v>
      </c>
      <c r="AA214" s="616">
        <v>3000</v>
      </c>
      <c r="AB214" s="616">
        <v>24000</v>
      </c>
    </row>
    <row r="215" spans="1:28">
      <c r="A215" s="616"/>
      <c r="B215" s="34"/>
      <c r="C215" s="707"/>
      <c r="D215" s="707"/>
      <c r="E215" s="34"/>
      <c r="F215" s="616"/>
      <c r="G215" s="616"/>
      <c r="H215" s="616"/>
      <c r="I215" s="616"/>
      <c r="J215" s="616"/>
      <c r="K215" s="616"/>
      <c r="L215" s="616"/>
      <c r="M215" s="616"/>
      <c r="N215" s="616"/>
      <c r="O215" s="616"/>
      <c r="P215" s="616"/>
      <c r="Q215" s="616"/>
      <c r="R215" s="616"/>
      <c r="S215" s="616"/>
      <c r="T215" s="616"/>
      <c r="U215" s="616"/>
      <c r="V215" s="616"/>
      <c r="W215" s="616"/>
      <c r="X215" s="616"/>
      <c r="Y215" s="616"/>
      <c r="Z215" s="616"/>
      <c r="AA215" s="616"/>
      <c r="AB215" s="616"/>
    </row>
    <row r="216" spans="1:28">
      <c r="A216" s="616"/>
      <c r="B216" s="613" t="s">
        <v>1185</v>
      </c>
      <c r="C216" s="707"/>
      <c r="D216" s="707"/>
      <c r="E216" s="34"/>
      <c r="F216" s="616">
        <v>0</v>
      </c>
      <c r="G216" s="616">
        <v>0</v>
      </c>
      <c r="H216" s="616">
        <v>0</v>
      </c>
      <c r="I216" s="616">
        <v>0</v>
      </c>
      <c r="J216" s="616">
        <v>0</v>
      </c>
      <c r="K216" s="616">
        <v>0</v>
      </c>
      <c r="L216" s="616">
        <v>0</v>
      </c>
      <c r="M216" s="616">
        <v>401</v>
      </c>
      <c r="N216" s="616">
        <v>401</v>
      </c>
      <c r="O216" s="616">
        <v>401</v>
      </c>
      <c r="P216" s="616">
        <v>401</v>
      </c>
      <c r="Q216" s="616">
        <v>401</v>
      </c>
      <c r="R216" s="616">
        <v>35012</v>
      </c>
      <c r="S216" s="616">
        <v>35000</v>
      </c>
      <c r="T216" s="616">
        <v>0</v>
      </c>
      <c r="U216" s="616">
        <v>0</v>
      </c>
      <c r="V216" s="616">
        <v>35000</v>
      </c>
      <c r="W216" s="616">
        <v>35000</v>
      </c>
      <c r="X216" s="616">
        <v>35000</v>
      </c>
      <c r="Y216" s="616">
        <v>0</v>
      </c>
      <c r="Z216" s="616">
        <v>0</v>
      </c>
      <c r="AA216" s="616">
        <v>0</v>
      </c>
      <c r="AB216" s="616"/>
    </row>
    <row r="217" spans="1:28">
      <c r="A217" s="616"/>
      <c r="B217" s="34" t="s">
        <v>228</v>
      </c>
      <c r="C217" s="707"/>
      <c r="D217" s="707"/>
      <c r="E217" s="34"/>
      <c r="F217" s="702">
        <v>0</v>
      </c>
      <c r="G217" s="702">
        <v>0</v>
      </c>
      <c r="H217" s="702">
        <v>0</v>
      </c>
      <c r="I217" s="702">
        <v>0</v>
      </c>
      <c r="J217" s="702">
        <v>0</v>
      </c>
      <c r="K217" s="702">
        <v>0</v>
      </c>
      <c r="L217" s="702">
        <v>0</v>
      </c>
      <c r="M217" s="702">
        <v>-229</v>
      </c>
      <c r="N217" s="702">
        <v>-305</v>
      </c>
      <c r="O217" s="702">
        <v>-381</v>
      </c>
      <c r="P217" s="702">
        <v>-401</v>
      </c>
      <c r="Q217" s="702">
        <v>-401</v>
      </c>
      <c r="R217" s="702">
        <v>-294</v>
      </c>
      <c r="S217" s="702">
        <v>-1000</v>
      </c>
      <c r="T217" s="702">
        <v>0</v>
      </c>
      <c r="U217" s="702">
        <v>0</v>
      </c>
      <c r="V217" s="702">
        <v>-4000</v>
      </c>
      <c r="W217" s="702">
        <v>-5000</v>
      </c>
      <c r="X217" s="702">
        <v>-6000</v>
      </c>
      <c r="Y217" s="702">
        <v>0</v>
      </c>
      <c r="Z217" s="702">
        <v>0</v>
      </c>
      <c r="AA217" s="702">
        <v>0</v>
      </c>
      <c r="AB217" s="702"/>
    </row>
    <row r="218" spans="1:28">
      <c r="A218" s="616"/>
      <c r="B218" s="34" t="s">
        <v>229</v>
      </c>
      <c r="C218" s="707"/>
      <c r="D218" s="707"/>
      <c r="E218" s="34"/>
      <c r="F218" s="616">
        <v>0</v>
      </c>
      <c r="G218" s="616">
        <v>0</v>
      </c>
      <c r="H218" s="616">
        <v>0</v>
      </c>
      <c r="I218" s="616">
        <v>0</v>
      </c>
      <c r="J218" s="616">
        <v>0</v>
      </c>
      <c r="K218" s="616">
        <v>0</v>
      </c>
      <c r="L218" s="616">
        <v>0</v>
      </c>
      <c r="M218" s="616">
        <v>172</v>
      </c>
      <c r="N218" s="616">
        <v>96</v>
      </c>
      <c r="O218" s="616">
        <v>20</v>
      </c>
      <c r="P218" s="616">
        <v>0</v>
      </c>
      <c r="Q218" s="616">
        <v>0</v>
      </c>
      <c r="R218" s="616">
        <v>34718</v>
      </c>
      <c r="S218" s="616">
        <v>34000</v>
      </c>
      <c r="T218" s="616">
        <v>0</v>
      </c>
      <c r="U218" s="616">
        <v>0</v>
      </c>
      <c r="V218" s="616">
        <v>31000</v>
      </c>
      <c r="W218" s="616">
        <v>30000</v>
      </c>
      <c r="X218" s="616">
        <v>29000</v>
      </c>
      <c r="Y218" s="616">
        <v>0</v>
      </c>
      <c r="Z218" s="616">
        <v>0</v>
      </c>
      <c r="AA218" s="616">
        <v>0</v>
      </c>
      <c r="AB218" s="616">
        <v>0</v>
      </c>
    </row>
    <row r="219" spans="1:28">
      <c r="A219" s="616"/>
      <c r="B219" s="34"/>
      <c r="C219" s="707"/>
      <c r="D219" s="707"/>
      <c r="E219" s="34"/>
      <c r="F219" s="616"/>
      <c r="G219" s="616"/>
      <c r="H219" s="616"/>
      <c r="I219" s="616"/>
      <c r="J219" s="616"/>
      <c r="K219" s="616"/>
      <c r="L219" s="616"/>
      <c r="M219" s="616"/>
      <c r="N219" s="616"/>
      <c r="O219" s="616"/>
      <c r="P219" s="616"/>
      <c r="Q219" s="616"/>
      <c r="R219" s="616"/>
      <c r="S219" s="616"/>
      <c r="T219" s="616"/>
      <c r="U219" s="616"/>
      <c r="V219" s="616"/>
      <c r="W219" s="616"/>
      <c r="X219" s="616"/>
      <c r="Y219" s="616"/>
      <c r="Z219" s="616"/>
      <c r="AA219" s="616"/>
      <c r="AB219" s="616"/>
    </row>
    <row r="220" spans="1:28">
      <c r="A220" s="616"/>
      <c r="B220" s="613" t="s">
        <v>230</v>
      </c>
      <c r="C220" s="707"/>
      <c r="D220" s="707"/>
      <c r="E220" s="34"/>
      <c r="F220" s="616">
        <v>0</v>
      </c>
      <c r="G220" s="616">
        <v>0</v>
      </c>
      <c r="H220" s="616">
        <v>0</v>
      </c>
      <c r="I220" s="616">
        <v>0</v>
      </c>
      <c r="J220" s="616">
        <v>0</v>
      </c>
      <c r="K220" s="616">
        <v>0</v>
      </c>
      <c r="L220" s="616">
        <v>0</v>
      </c>
      <c r="M220" s="616">
        <v>0</v>
      </c>
      <c r="N220" s="616">
        <v>1066</v>
      </c>
      <c r="O220" s="616">
        <v>1266</v>
      </c>
      <c r="P220" s="616">
        <v>1210</v>
      </c>
      <c r="Q220" s="616">
        <v>1466</v>
      </c>
      <c r="R220" s="616">
        <v>1222</v>
      </c>
      <c r="S220" s="616"/>
      <c r="T220" s="616"/>
      <c r="U220" s="616"/>
      <c r="V220" s="616"/>
      <c r="W220" s="616"/>
      <c r="X220" s="616"/>
      <c r="Y220" s="616"/>
      <c r="Z220" s="616"/>
      <c r="AA220" s="616"/>
      <c r="AB220" s="616"/>
    </row>
    <row r="221" spans="1:28">
      <c r="A221" s="616"/>
      <c r="B221" s="34" t="s">
        <v>228</v>
      </c>
      <c r="C221" s="707"/>
      <c r="D221" s="707"/>
      <c r="E221" s="34"/>
      <c r="F221" s="702">
        <v>0</v>
      </c>
      <c r="G221" s="702">
        <v>0</v>
      </c>
      <c r="H221" s="702">
        <v>0</v>
      </c>
      <c r="I221" s="702">
        <v>0</v>
      </c>
      <c r="J221" s="702">
        <v>0</v>
      </c>
      <c r="K221" s="702">
        <v>0</v>
      </c>
      <c r="L221" s="702">
        <v>0</v>
      </c>
      <c r="M221" s="702">
        <v>0</v>
      </c>
      <c r="N221" s="702">
        <v>-688</v>
      </c>
      <c r="O221" s="702">
        <v>-612</v>
      </c>
      <c r="P221" s="702">
        <v>-423</v>
      </c>
      <c r="Q221" s="702">
        <v>-570</v>
      </c>
      <c r="R221" s="702">
        <v>-1222</v>
      </c>
      <c r="S221" s="702"/>
      <c r="T221" s="702"/>
      <c r="U221" s="702"/>
      <c r="V221" s="702"/>
      <c r="W221" s="702"/>
      <c r="X221" s="702"/>
      <c r="Y221" s="702"/>
      <c r="Z221" s="702"/>
      <c r="AA221" s="702"/>
      <c r="AB221" s="702"/>
    </row>
    <row r="222" spans="1:28">
      <c r="A222" s="616"/>
      <c r="B222" s="34" t="s">
        <v>229</v>
      </c>
      <c r="C222" s="707"/>
      <c r="D222" s="707"/>
      <c r="E222" s="34"/>
      <c r="F222" s="616">
        <v>0</v>
      </c>
      <c r="G222" s="616">
        <v>0</v>
      </c>
      <c r="H222" s="616">
        <v>0</v>
      </c>
      <c r="I222" s="616">
        <v>0</v>
      </c>
      <c r="J222" s="616">
        <v>0</v>
      </c>
      <c r="K222" s="616">
        <v>0</v>
      </c>
      <c r="L222" s="616">
        <v>0</v>
      </c>
      <c r="M222" s="616">
        <v>0</v>
      </c>
      <c r="N222" s="616">
        <v>378</v>
      </c>
      <c r="O222" s="616">
        <v>654</v>
      </c>
      <c r="P222" s="616">
        <v>787</v>
      </c>
      <c r="Q222" s="616">
        <v>896</v>
      </c>
      <c r="R222" s="616">
        <v>0</v>
      </c>
      <c r="S222" s="616">
        <v>0</v>
      </c>
      <c r="T222" s="616">
        <v>0</v>
      </c>
      <c r="U222" s="616">
        <v>0</v>
      </c>
      <c r="V222" s="616">
        <v>0</v>
      </c>
      <c r="W222" s="616">
        <v>0</v>
      </c>
      <c r="X222" s="616">
        <v>0</v>
      </c>
      <c r="Y222" s="616">
        <v>0</v>
      </c>
      <c r="Z222" s="616">
        <v>0</v>
      </c>
      <c r="AA222" s="616">
        <v>0</v>
      </c>
      <c r="AB222" s="616">
        <v>0</v>
      </c>
    </row>
    <row r="223" spans="1:28" ht="13.5" thickBot="1">
      <c r="A223" s="616"/>
      <c r="B223" s="613" t="s">
        <v>231</v>
      </c>
      <c r="C223" s="707"/>
      <c r="D223" s="707"/>
      <c r="E223" s="34"/>
      <c r="F223" s="764" t="e">
        <v>#REF!</v>
      </c>
      <c r="G223" s="764" t="e">
        <v>#REF!</v>
      </c>
      <c r="H223" s="764" t="e">
        <v>#REF!</v>
      </c>
      <c r="I223" s="764" t="e">
        <v>#REF!</v>
      </c>
      <c r="J223" s="764" t="e">
        <v>#REF!</v>
      </c>
      <c r="K223" s="764" t="e">
        <v>#REF!</v>
      </c>
      <c r="L223" s="764" t="e">
        <v>#REF!</v>
      </c>
      <c r="M223" s="764" t="e">
        <v>#REF!</v>
      </c>
      <c r="N223" s="764" t="e">
        <v>#REF!</v>
      </c>
      <c r="O223" s="764" t="e">
        <v>#REF!</v>
      </c>
      <c r="P223" s="764" t="e">
        <v>#REF!</v>
      </c>
      <c r="Q223" s="764" t="e">
        <v>#REF!</v>
      </c>
      <c r="R223" s="764">
        <v>160383</v>
      </c>
      <c r="S223" s="764">
        <v>188000</v>
      </c>
      <c r="T223" s="764">
        <v>260000</v>
      </c>
      <c r="U223" s="764">
        <v>327000</v>
      </c>
      <c r="V223" s="764">
        <v>329000</v>
      </c>
      <c r="W223" s="764">
        <v>333000</v>
      </c>
      <c r="X223" s="764">
        <v>332000</v>
      </c>
      <c r="Y223" s="764">
        <v>272000</v>
      </c>
      <c r="Z223" s="764">
        <v>260000</v>
      </c>
      <c r="AA223" s="764">
        <v>230000</v>
      </c>
      <c r="AB223" s="764">
        <v>237000</v>
      </c>
    </row>
    <row r="224" spans="1:28" ht="13.5" thickTop="1">
      <c r="A224" s="616"/>
      <c r="B224" s="613"/>
      <c r="C224" s="707"/>
      <c r="D224" s="707"/>
      <c r="E224" s="34"/>
      <c r="F224" s="707"/>
      <c r="G224" s="707"/>
      <c r="H224" s="707"/>
      <c r="I224" s="707"/>
      <c r="J224" s="707"/>
      <c r="K224" s="707"/>
      <c r="L224" s="707"/>
      <c r="M224" s="707"/>
      <c r="N224" s="707"/>
      <c r="O224" s="707"/>
      <c r="P224" s="707"/>
      <c r="Q224" s="707"/>
      <c r="R224" s="707"/>
      <c r="S224" s="707"/>
      <c r="T224" s="707"/>
      <c r="U224" s="707"/>
      <c r="V224" s="707"/>
      <c r="W224" s="707"/>
      <c r="X224" s="707"/>
      <c r="Y224" s="707"/>
      <c r="Z224" s="707"/>
      <c r="AA224" s="707"/>
      <c r="AB224" s="707"/>
    </row>
    <row r="225" spans="1:28">
      <c r="A225" s="616"/>
      <c r="B225" s="1120" t="s">
        <v>1202</v>
      </c>
      <c r="C225" s="707"/>
      <c r="D225" s="707"/>
      <c r="E225" s="34"/>
      <c r="F225" s="707"/>
      <c r="G225" s="707"/>
      <c r="H225" s="707"/>
      <c r="I225" s="707"/>
      <c r="J225" s="707"/>
      <c r="K225" s="707"/>
      <c r="L225" s="707"/>
      <c r="M225" s="707"/>
      <c r="N225" s="707"/>
      <c r="O225" s="707"/>
      <c r="P225" s="707"/>
      <c r="Q225" s="707"/>
      <c r="R225" s="707"/>
      <c r="S225" s="707"/>
      <c r="T225" s="707"/>
      <c r="U225" s="707"/>
      <c r="V225" s="707"/>
      <c r="W225" s="707"/>
      <c r="X225" s="707"/>
      <c r="Y225" s="707"/>
      <c r="Z225" s="707"/>
      <c r="AA225" s="707"/>
      <c r="AB225" s="707"/>
    </row>
    <row r="226" spans="1:28">
      <c r="A226" s="616"/>
      <c r="B226" s="34" t="s">
        <v>1205</v>
      </c>
      <c r="C226" s="707"/>
      <c r="D226" s="707"/>
      <c r="E226" s="34"/>
      <c r="F226" s="707"/>
      <c r="G226" s="707"/>
      <c r="H226" s="707"/>
      <c r="I226" s="707"/>
      <c r="J226" s="707"/>
      <c r="K226" s="707"/>
      <c r="L226" s="707"/>
      <c r="M226" s="707"/>
      <c r="N226" s="707"/>
      <c r="O226" s="707"/>
      <c r="P226" s="707"/>
      <c r="Q226" s="707"/>
      <c r="R226" s="616"/>
      <c r="S226" s="616">
        <v>188000</v>
      </c>
      <c r="T226" s="616">
        <v>260000</v>
      </c>
      <c r="U226" s="616">
        <v>327000</v>
      </c>
      <c r="V226" s="616">
        <v>329000</v>
      </c>
      <c r="W226" s="616">
        <v>333000</v>
      </c>
      <c r="X226" s="616">
        <v>332000</v>
      </c>
      <c r="Y226" s="616">
        <v>272000</v>
      </c>
      <c r="Z226" s="616">
        <v>260000</v>
      </c>
      <c r="AA226" s="616">
        <v>230000</v>
      </c>
      <c r="AB226" s="616">
        <v>237000</v>
      </c>
    </row>
    <row r="227" spans="1:28">
      <c r="A227" s="616"/>
      <c r="B227" s="34" t="s">
        <v>226</v>
      </c>
      <c r="C227" s="707"/>
      <c r="D227" s="707"/>
      <c r="E227" s="34"/>
      <c r="F227" s="707"/>
      <c r="G227" s="707"/>
      <c r="H227" s="707"/>
      <c r="I227" s="707"/>
      <c r="J227" s="707"/>
      <c r="K227" s="707"/>
      <c r="L227" s="707"/>
      <c r="M227" s="707"/>
      <c r="N227" s="707"/>
      <c r="O227" s="707"/>
      <c r="P227" s="707"/>
      <c r="Q227" s="707"/>
      <c r="R227" s="616">
        <v>181941</v>
      </c>
      <c r="S227" s="616">
        <v>182000</v>
      </c>
      <c r="T227" s="616">
        <v>182000</v>
      </c>
      <c r="U227" s="616">
        <v>182000</v>
      </c>
      <c r="V227" s="616">
        <v>182000</v>
      </c>
      <c r="W227" s="616">
        <v>182000</v>
      </c>
      <c r="X227" s="616">
        <v>182000</v>
      </c>
      <c r="Y227" s="616">
        <v>179000</v>
      </c>
      <c r="Z227" s="616">
        <v>179000</v>
      </c>
      <c r="AA227" s="616">
        <v>179000</v>
      </c>
      <c r="AB227" s="616">
        <v>220000</v>
      </c>
    </row>
    <row r="228" spans="1:28" ht="13.5" thickBot="1">
      <c r="A228" s="616"/>
      <c r="C228" s="707"/>
      <c r="D228" s="707"/>
      <c r="E228" s="1111"/>
      <c r="F228" s="1130" t="e">
        <v>#REF!</v>
      </c>
      <c r="G228" s="1130" t="e">
        <v>#REF!</v>
      </c>
      <c r="H228" s="1130" t="e">
        <v>#REF!</v>
      </c>
      <c r="I228" s="1130" t="e">
        <v>#REF!</v>
      </c>
      <c r="J228" s="1130" t="e">
        <v>#REF!</v>
      </c>
      <c r="K228" s="1130" t="e">
        <v>#REF!</v>
      </c>
      <c r="L228" s="1130" t="e">
        <v>#REF!</v>
      </c>
      <c r="M228" s="1130" t="e">
        <v>#REF!</v>
      </c>
      <c r="N228" s="1130" t="e">
        <v>#REF!</v>
      </c>
      <c r="O228" s="1130" t="e">
        <v>#REF!</v>
      </c>
      <c r="P228" s="1130" t="e">
        <v>#REF!</v>
      </c>
      <c r="Q228" s="1130" t="e">
        <v>#REF!</v>
      </c>
      <c r="R228" s="764">
        <v>342324</v>
      </c>
      <c r="S228" s="764">
        <v>370000</v>
      </c>
      <c r="T228" s="764">
        <v>442000</v>
      </c>
      <c r="U228" s="764">
        <v>509000</v>
      </c>
      <c r="V228" s="764">
        <v>511000</v>
      </c>
      <c r="W228" s="764">
        <v>515000</v>
      </c>
      <c r="X228" s="764">
        <v>514000</v>
      </c>
      <c r="Y228" s="764">
        <v>451000</v>
      </c>
      <c r="Z228" s="764">
        <v>439000</v>
      </c>
      <c r="AA228" s="764">
        <v>409000</v>
      </c>
      <c r="AB228" s="764">
        <v>457000</v>
      </c>
    </row>
    <row r="229" spans="1:28" ht="13.5" thickTop="1">
      <c r="A229" s="616"/>
      <c r="B229" s="1120"/>
      <c r="C229" s="707"/>
      <c r="D229" s="631" t="s">
        <v>93</v>
      </c>
      <c r="E229" s="1111"/>
      <c r="F229" s="707"/>
      <c r="G229" s="707"/>
      <c r="H229" s="707"/>
      <c r="I229" s="707"/>
      <c r="J229" s="707"/>
      <c r="K229" s="707"/>
      <c r="L229" s="707"/>
      <c r="M229" s="707"/>
      <c r="N229" s="707"/>
      <c r="O229" s="707"/>
      <c r="P229" s="707"/>
      <c r="Q229" s="707"/>
      <c r="R229" s="707">
        <v>0</v>
      </c>
      <c r="S229" s="707">
        <v>0</v>
      </c>
      <c r="T229" s="707">
        <v>0</v>
      </c>
      <c r="U229" s="707">
        <v>0</v>
      </c>
      <c r="V229" s="707">
        <v>0</v>
      </c>
      <c r="W229" s="707">
        <v>0</v>
      </c>
      <c r="X229" s="707">
        <v>0</v>
      </c>
      <c r="Y229" s="707">
        <v>0</v>
      </c>
      <c r="Z229" s="707">
        <v>0</v>
      </c>
      <c r="AA229" s="707">
        <v>0</v>
      </c>
      <c r="AB229" s="707">
        <v>0</v>
      </c>
    </row>
    <row r="230" spans="1:28">
      <c r="A230" s="616"/>
      <c r="B230" s="1134" t="s">
        <v>1203</v>
      </c>
      <c r="C230" s="724"/>
      <c r="D230" s="724"/>
      <c r="E230" s="1111"/>
      <c r="F230" s="707"/>
      <c r="G230" s="707"/>
      <c r="H230" s="707"/>
      <c r="I230" s="707"/>
      <c r="J230" s="707"/>
      <c r="K230" s="707"/>
      <c r="L230" s="707"/>
      <c r="M230" s="707"/>
      <c r="N230" s="707"/>
      <c r="O230" s="707"/>
      <c r="P230" s="707"/>
      <c r="Q230" s="707"/>
      <c r="R230" s="707"/>
      <c r="S230" s="707"/>
      <c r="T230" s="707"/>
      <c r="U230" s="707"/>
      <c r="V230" s="707"/>
      <c r="W230" s="707"/>
      <c r="X230" s="707"/>
      <c r="Y230" s="707"/>
      <c r="Z230" s="707"/>
      <c r="AA230" s="707"/>
      <c r="AB230" s="707"/>
    </row>
    <row r="231" spans="1:28">
      <c r="A231" s="616"/>
      <c r="B231" s="613" t="s">
        <v>1156</v>
      </c>
      <c r="C231" s="707"/>
      <c r="D231" s="707"/>
      <c r="E231" s="1111"/>
      <c r="F231" s="707"/>
      <c r="G231" s="707"/>
      <c r="H231" s="707"/>
      <c r="I231" s="707"/>
      <c r="J231" s="707"/>
      <c r="K231" s="707"/>
      <c r="L231" s="707"/>
      <c r="M231" s="707"/>
      <c r="N231" s="707"/>
      <c r="O231" s="707"/>
      <c r="P231" s="707"/>
      <c r="Q231" s="707"/>
      <c r="R231" s="616">
        <v>-15294</v>
      </c>
      <c r="S231" s="616">
        <v>-15000</v>
      </c>
      <c r="T231" s="616">
        <v>-14000</v>
      </c>
      <c r="U231" s="616">
        <v>-14000</v>
      </c>
      <c r="V231" s="616">
        <v>-25000</v>
      </c>
      <c r="W231" s="616">
        <v>-27000</v>
      </c>
      <c r="X231" s="616">
        <v>-32000</v>
      </c>
      <c r="Y231" s="616">
        <v>-37000</v>
      </c>
      <c r="Z231" s="616">
        <v>-36000</v>
      </c>
      <c r="AA231" s="616">
        <v>-36000</v>
      </c>
      <c r="AB231" s="616">
        <v>-40000</v>
      </c>
    </row>
    <row r="232" spans="1:28">
      <c r="A232" s="616"/>
      <c r="B232" s="1120" t="s">
        <v>14</v>
      </c>
      <c r="C232" s="707"/>
      <c r="D232" s="707"/>
      <c r="E232" s="1111"/>
      <c r="F232" s="707"/>
      <c r="G232" s="707"/>
      <c r="H232" s="707"/>
      <c r="I232" s="707"/>
      <c r="J232" s="707"/>
      <c r="K232" s="707"/>
      <c r="L232" s="707"/>
      <c r="M232" s="707"/>
      <c r="N232" s="707"/>
      <c r="O232" s="707"/>
      <c r="P232" s="707"/>
      <c r="Q232" s="707"/>
      <c r="R232" s="616"/>
      <c r="S232" s="616"/>
      <c r="T232" s="616"/>
      <c r="U232" s="616"/>
      <c r="V232" s="616"/>
      <c r="W232" s="616"/>
      <c r="X232" s="616"/>
      <c r="Y232" s="616"/>
      <c r="Z232" s="616"/>
      <c r="AA232" s="616"/>
      <c r="AB232" s="616">
        <v>-1000</v>
      </c>
    </row>
    <row r="233" spans="1:28">
      <c r="A233" s="616"/>
      <c r="B233" s="613" t="s">
        <v>1185</v>
      </c>
      <c r="C233" s="707"/>
      <c r="D233" s="707"/>
      <c r="E233" s="1111"/>
      <c r="F233" s="707"/>
      <c r="G233" s="707"/>
      <c r="H233" s="707"/>
      <c r="I233" s="707"/>
      <c r="J233" s="707"/>
      <c r="K233" s="707"/>
      <c r="L233" s="707"/>
      <c r="M233" s="707"/>
      <c r="N233" s="707"/>
      <c r="O233" s="707"/>
      <c r="P233" s="707"/>
      <c r="Q233" s="707"/>
      <c r="R233" s="702">
        <v>-881</v>
      </c>
      <c r="S233" s="702">
        <v>-1000</v>
      </c>
      <c r="T233" s="702">
        <v>-1000</v>
      </c>
      <c r="U233" s="702">
        <v>-1000</v>
      </c>
      <c r="V233" s="702">
        <v>-1000</v>
      </c>
      <c r="W233" s="702">
        <v>-1000</v>
      </c>
      <c r="X233" s="702">
        <v>-1000</v>
      </c>
      <c r="Y233" s="702">
        <v>-1000</v>
      </c>
      <c r="Z233" s="702"/>
      <c r="AA233" s="702">
        <v>0</v>
      </c>
      <c r="AB233" s="702">
        <v>0</v>
      </c>
    </row>
    <row r="234" spans="1:28" ht="13.5" thickBot="1">
      <c r="A234" s="616"/>
      <c r="B234" s="1120" t="s">
        <v>1204</v>
      </c>
      <c r="C234" s="707"/>
      <c r="D234" s="707"/>
      <c r="E234" s="1111"/>
      <c r="F234" s="707"/>
      <c r="G234" s="707"/>
      <c r="H234" s="707"/>
      <c r="I234" s="707"/>
      <c r="J234" s="707"/>
      <c r="K234" s="707"/>
      <c r="L234" s="707"/>
      <c r="M234" s="707"/>
      <c r="N234" s="707"/>
      <c r="O234" s="707"/>
      <c r="P234" s="707"/>
      <c r="Q234" s="707"/>
      <c r="R234" s="764">
        <v>-16175</v>
      </c>
      <c r="S234" s="764">
        <v>-16000</v>
      </c>
      <c r="T234" s="764">
        <v>-15000</v>
      </c>
      <c r="U234" s="764">
        <v>-15000</v>
      </c>
      <c r="V234" s="764">
        <v>-26000</v>
      </c>
      <c r="W234" s="764">
        <v>-28000</v>
      </c>
      <c r="X234" s="764">
        <v>-33000</v>
      </c>
      <c r="Y234" s="764">
        <v>-38000</v>
      </c>
      <c r="Z234" s="764">
        <v>-36000</v>
      </c>
      <c r="AA234" s="764">
        <v>-36000</v>
      </c>
      <c r="AB234" s="764">
        <v>-41000</v>
      </c>
    </row>
    <row r="235" spans="1:28" ht="13.5" thickTop="1">
      <c r="A235" s="616"/>
      <c r="B235" s="34"/>
      <c r="C235" s="707"/>
      <c r="D235" s="1358" t="s">
        <v>93</v>
      </c>
      <c r="E235" s="34"/>
      <c r="F235" s="707"/>
      <c r="G235" s="707"/>
      <c r="H235" s="707"/>
      <c r="I235" s="707"/>
      <c r="J235" s="707"/>
      <c r="K235" s="707"/>
      <c r="L235" s="707"/>
      <c r="M235" s="707"/>
      <c r="N235" s="707"/>
      <c r="O235" s="707"/>
      <c r="P235" s="707"/>
      <c r="Q235" s="707"/>
      <c r="R235" s="707"/>
      <c r="S235" s="45">
        <v>0</v>
      </c>
      <c r="T235" s="45">
        <v>0</v>
      </c>
      <c r="U235" s="45">
        <v>0</v>
      </c>
      <c r="V235" s="45">
        <v>0</v>
      </c>
      <c r="W235" s="45">
        <v>0</v>
      </c>
      <c r="X235" s="45">
        <v>0</v>
      </c>
      <c r="Y235" s="45">
        <v>0</v>
      </c>
      <c r="Z235" s="45">
        <v>0</v>
      </c>
      <c r="AA235" s="45">
        <v>0</v>
      </c>
      <c r="AB235" s="45">
        <v>0</v>
      </c>
    </row>
    <row r="236" spans="1:28" ht="18">
      <c r="A236" s="1180"/>
      <c r="B236" s="1180"/>
      <c r="C236" s="1180"/>
      <c r="D236" s="1180"/>
      <c r="E236" s="1508"/>
      <c r="F236" s="1508"/>
      <c r="G236" s="1508"/>
      <c r="H236" s="1508"/>
      <c r="I236" s="763"/>
      <c r="J236" s="763"/>
      <c r="K236" s="763"/>
      <c r="L236" s="1510"/>
      <c r="M236" s="1510"/>
      <c r="N236" s="1510"/>
      <c r="O236" s="761"/>
      <c r="P236" s="752"/>
      <c r="Q236" s="684"/>
      <c r="R236" s="684"/>
      <c r="S236" s="684"/>
      <c r="T236" s="684"/>
      <c r="U236" s="1122"/>
      <c r="V236" s="1122"/>
      <c r="W236" s="1552" t="s">
        <v>7</v>
      </c>
      <c r="X236" s="1553"/>
      <c r="Y236" s="1553"/>
      <c r="Z236" s="1553"/>
      <c r="AA236" s="1554"/>
      <c r="AB236" s="1084" t="s">
        <v>1462</v>
      </c>
    </row>
    <row r="237" spans="1:28">
      <c r="A237" s="1507"/>
      <c r="B237" s="1507"/>
      <c r="C237" s="1507"/>
      <c r="D237" s="1507"/>
      <c r="E237" s="1507"/>
      <c r="F237" s="43">
        <v>0</v>
      </c>
      <c r="G237" s="43">
        <v>1</v>
      </c>
      <c r="H237" s="43">
        <v>2</v>
      </c>
      <c r="I237" s="43">
        <v>3</v>
      </c>
      <c r="J237" s="43">
        <v>4</v>
      </c>
      <c r="K237" s="43">
        <v>5</v>
      </c>
      <c r="L237" s="43">
        <v>6</v>
      </c>
      <c r="M237" s="43">
        <v>7</v>
      </c>
      <c r="N237" s="612">
        <v>8</v>
      </c>
      <c r="O237" s="43">
        <v>9</v>
      </c>
      <c r="P237" s="43">
        <v>10</v>
      </c>
      <c r="Q237" s="43">
        <v>11</v>
      </c>
      <c r="R237" s="43">
        <v>0</v>
      </c>
      <c r="S237" s="43">
        <v>1</v>
      </c>
      <c r="T237" s="43">
        <v>2</v>
      </c>
      <c r="U237" s="1123">
        <v>3</v>
      </c>
      <c r="V237" s="1123">
        <v>4</v>
      </c>
      <c r="W237" s="43">
        <v>5</v>
      </c>
      <c r="X237" s="43">
        <v>6</v>
      </c>
      <c r="Y237" s="43">
        <v>7</v>
      </c>
      <c r="Z237" s="43">
        <v>8</v>
      </c>
      <c r="AA237" s="43">
        <v>9</v>
      </c>
      <c r="AB237" s="43">
        <v>10</v>
      </c>
    </row>
    <row r="238" spans="1:28" ht="15.75" customHeight="1">
      <c r="E238" s="1276" t="s">
        <v>44</v>
      </c>
      <c r="F238" s="740">
        <v>1999</v>
      </c>
      <c r="G238" s="740">
        <v>2000</v>
      </c>
      <c r="H238" s="740">
        <v>2001</v>
      </c>
      <c r="I238" s="740">
        <v>2002</v>
      </c>
      <c r="J238" s="740">
        <v>2003</v>
      </c>
      <c r="K238" s="740">
        <v>2004</v>
      </c>
      <c r="L238" s="740">
        <v>2005</v>
      </c>
      <c r="M238" s="740">
        <v>2006</v>
      </c>
      <c r="N238" s="740">
        <v>2007</v>
      </c>
      <c r="O238" s="740">
        <v>2008</v>
      </c>
      <c r="P238" s="740">
        <v>2009</v>
      </c>
      <c r="Q238" s="740">
        <v>2010</v>
      </c>
      <c r="R238" s="980">
        <v>2011</v>
      </c>
      <c r="S238" s="980">
        <v>2012</v>
      </c>
      <c r="T238" s="980">
        <v>2013</v>
      </c>
      <c r="U238" s="980">
        <v>2014</v>
      </c>
      <c r="V238" s="980">
        <v>2015</v>
      </c>
      <c r="W238" s="980">
        <v>2016</v>
      </c>
      <c r="X238" s="980">
        <v>2017</v>
      </c>
      <c r="Y238" s="980">
        <v>2018</v>
      </c>
      <c r="Z238" s="980">
        <v>2019</v>
      </c>
      <c r="AA238" s="980">
        <v>2020</v>
      </c>
      <c r="AB238" s="980">
        <v>2021</v>
      </c>
    </row>
    <row r="239" spans="1:28" ht="13.5" customHeight="1">
      <c r="A239" s="1506" t="s">
        <v>7</v>
      </c>
      <c r="B239" s="1506"/>
      <c r="C239" s="1506"/>
      <c r="D239" s="1506"/>
      <c r="E239" s="1276"/>
      <c r="F239" s="714"/>
      <c r="G239" s="714"/>
      <c r="H239" s="714"/>
      <c r="I239" s="714"/>
      <c r="J239" s="714"/>
      <c r="K239" s="714"/>
      <c r="L239" s="714"/>
      <c r="M239" s="714"/>
      <c r="N239" s="714"/>
      <c r="O239" s="714"/>
      <c r="P239" s="714"/>
      <c r="Q239" s="714"/>
      <c r="R239" s="714"/>
      <c r="S239" s="714"/>
      <c r="T239" s="714"/>
      <c r="U239" s="1114"/>
      <c r="V239" s="1114"/>
      <c r="W239" s="714"/>
      <c r="X239" s="714"/>
      <c r="Y239" s="714"/>
      <c r="Z239" s="714"/>
      <c r="AA239" s="714"/>
      <c r="AB239" s="714"/>
    </row>
    <row r="240" spans="1:28" ht="13.5" customHeight="1">
      <c r="A240" s="1384"/>
      <c r="B240" s="1384"/>
      <c r="C240" s="1384"/>
      <c r="D240" s="1384"/>
      <c r="E240" s="1276"/>
      <c r="F240" s="714"/>
      <c r="G240" s="714"/>
      <c r="H240" s="714"/>
      <c r="I240" s="714"/>
      <c r="J240" s="714"/>
      <c r="K240" s="714"/>
      <c r="L240" s="714"/>
      <c r="M240" s="714"/>
      <c r="N240" s="714"/>
      <c r="O240" s="714"/>
      <c r="P240" s="714"/>
      <c r="Q240" s="714"/>
      <c r="R240" s="714"/>
      <c r="S240" s="714"/>
      <c r="T240" s="714"/>
      <c r="U240" s="1114"/>
      <c r="V240" s="1114"/>
      <c r="W240" s="714"/>
      <c r="X240" s="714"/>
      <c r="Y240" s="714"/>
      <c r="Z240" s="714"/>
      <c r="AA240" s="714"/>
      <c r="AB240" s="714"/>
    </row>
    <row r="241" spans="1:29">
      <c r="A241" s="977" t="s">
        <v>232</v>
      </c>
      <c r="B241" s="1001"/>
      <c r="C241" s="1001"/>
      <c r="D241" s="1001"/>
      <c r="E241" s="34"/>
      <c r="I241" s="713"/>
      <c r="J241" s="34"/>
      <c r="K241" s="616"/>
      <c r="L241" s="616"/>
      <c r="M241" s="616"/>
      <c r="N241" s="616"/>
      <c r="O241" s="616"/>
      <c r="P241" s="701"/>
      <c r="Q241" s="701"/>
      <c r="R241" s="701"/>
      <c r="S241" s="701"/>
      <c r="T241" s="701"/>
      <c r="U241" s="1121"/>
      <c r="V241" s="1121"/>
      <c r="W241" s="701"/>
      <c r="X241" s="701"/>
      <c r="Y241" s="701"/>
      <c r="Z241" s="701"/>
      <c r="AA241" s="34"/>
      <c r="AB241" s="34"/>
    </row>
    <row r="242" spans="1:29">
      <c r="A242" s="788"/>
      <c r="B242" s="34" t="s">
        <v>18</v>
      </c>
      <c r="C242" s="34"/>
      <c r="D242" s="34"/>
      <c r="E242" s="34"/>
      <c r="F242" s="616">
        <v>0</v>
      </c>
      <c r="G242" s="616">
        <v>0</v>
      </c>
      <c r="H242" s="616">
        <v>0</v>
      </c>
      <c r="I242" s="616">
        <v>0</v>
      </c>
      <c r="J242" s="616">
        <v>0</v>
      </c>
      <c r="K242" s="616">
        <v>0</v>
      </c>
      <c r="L242" s="616">
        <v>0</v>
      </c>
      <c r="M242" s="616">
        <v>60553</v>
      </c>
      <c r="N242" s="616">
        <v>40943</v>
      </c>
      <c r="O242" s="616">
        <v>139142</v>
      </c>
      <c r="P242" s="701">
        <v>127016</v>
      </c>
      <c r="Q242" s="701">
        <v>182895</v>
      </c>
      <c r="R242" s="701">
        <v>2026</v>
      </c>
      <c r="S242" s="701">
        <v>3853</v>
      </c>
      <c r="T242" s="701">
        <v>10000</v>
      </c>
      <c r="U242" s="701">
        <v>12000</v>
      </c>
      <c r="V242" s="701">
        <v>84000</v>
      </c>
      <c r="W242" s="701">
        <v>110000</v>
      </c>
      <c r="X242" s="701">
        <v>46000</v>
      </c>
      <c r="Y242" s="701">
        <v>65000</v>
      </c>
      <c r="Z242" s="693">
        <v>93000</v>
      </c>
      <c r="AA242" s="1105">
        <v>156000</v>
      </c>
      <c r="AB242" s="1128">
        <v>126000</v>
      </c>
      <c r="AC242" s="14"/>
    </row>
    <row r="243" spans="1:29">
      <c r="A243" s="788"/>
      <c r="B243" s="34" t="s">
        <v>206</v>
      </c>
      <c r="C243" s="34"/>
      <c r="D243" s="34"/>
      <c r="E243" s="34"/>
      <c r="F243" s="616">
        <v>0</v>
      </c>
      <c r="G243" s="616">
        <v>0</v>
      </c>
      <c r="H243" s="616">
        <v>0</v>
      </c>
      <c r="I243" s="616">
        <v>0</v>
      </c>
      <c r="J243" s="616">
        <v>0</v>
      </c>
      <c r="K243" s="616">
        <v>0</v>
      </c>
      <c r="L243" s="616">
        <v>0</v>
      </c>
      <c r="M243" s="702">
        <v>21004</v>
      </c>
      <c r="N243" s="702">
        <v>127702</v>
      </c>
      <c r="O243" s="702">
        <v>170902</v>
      </c>
      <c r="P243" s="766">
        <v>139969</v>
      </c>
      <c r="Q243" s="766">
        <v>190981</v>
      </c>
      <c r="R243" s="766">
        <v>-226491</v>
      </c>
      <c r="S243" s="766">
        <v>-184346</v>
      </c>
      <c r="T243" s="766">
        <v>-147000</v>
      </c>
      <c r="U243" s="766">
        <v>-165000</v>
      </c>
      <c r="V243" s="766">
        <v>-81000</v>
      </c>
      <c r="W243" s="766">
        <v>-106000</v>
      </c>
      <c r="X243" s="766">
        <v>-102000</v>
      </c>
      <c r="Y243" s="766">
        <v>-61000</v>
      </c>
      <c r="Z243" s="767">
        <v>-113000</v>
      </c>
      <c r="AA243" s="1106">
        <v>-127000</v>
      </c>
      <c r="AB243" s="1129">
        <v>-177000</v>
      </c>
      <c r="AC243" s="1142"/>
    </row>
    <row r="244" spans="1:29">
      <c r="A244" s="616"/>
      <c r="B244" s="34" t="s">
        <v>233</v>
      </c>
      <c r="C244" s="34"/>
      <c r="D244" s="34"/>
      <c r="E244" s="34"/>
      <c r="F244" s="616">
        <v>0</v>
      </c>
      <c r="G244" s="616">
        <v>0</v>
      </c>
      <c r="H244" s="616">
        <v>0</v>
      </c>
      <c r="I244" s="616">
        <v>0</v>
      </c>
      <c r="J244" s="616">
        <v>0</v>
      </c>
      <c r="K244" s="616">
        <v>0</v>
      </c>
      <c r="L244" s="616">
        <v>0</v>
      </c>
      <c r="M244" s="701">
        <v>39549</v>
      </c>
      <c r="N244" s="701">
        <v>-86759</v>
      </c>
      <c r="O244" s="701">
        <v>-31760</v>
      </c>
      <c r="P244" s="701">
        <v>-12953</v>
      </c>
      <c r="Q244" s="701">
        <v>-8086</v>
      </c>
      <c r="R244" s="1105">
        <v>-224465</v>
      </c>
      <c r="S244" s="1128">
        <v>-180493</v>
      </c>
      <c r="T244" s="986">
        <v>-137000</v>
      </c>
      <c r="U244" s="986">
        <v>-153000</v>
      </c>
      <c r="V244" s="986">
        <v>3000</v>
      </c>
      <c r="W244" s="986">
        <v>4000</v>
      </c>
      <c r="X244" s="986">
        <v>-56000</v>
      </c>
      <c r="Y244" s="986">
        <v>4000</v>
      </c>
      <c r="Z244" s="986">
        <v>-20000</v>
      </c>
      <c r="AA244" s="986">
        <v>29000</v>
      </c>
      <c r="AB244" s="986">
        <v>-51000</v>
      </c>
    </row>
    <row r="245" spans="1:29">
      <c r="A245" s="788" t="s">
        <v>125</v>
      </c>
      <c r="B245" s="1000" t="s">
        <v>234</v>
      </c>
      <c r="C245" s="1000"/>
      <c r="D245" s="1000"/>
      <c r="E245" s="613"/>
      <c r="F245" s="616">
        <v>0</v>
      </c>
      <c r="G245" s="616">
        <v>0</v>
      </c>
      <c r="H245" s="616">
        <v>0</v>
      </c>
      <c r="I245" s="616">
        <v>0</v>
      </c>
      <c r="J245" s="616">
        <v>0</v>
      </c>
      <c r="K245" s="616">
        <v>0</v>
      </c>
      <c r="L245" s="616">
        <v>0</v>
      </c>
      <c r="M245" s="616">
        <v>0</v>
      </c>
      <c r="N245" s="616">
        <v>0</v>
      </c>
      <c r="O245" s="616">
        <v>0</v>
      </c>
      <c r="P245" s="616">
        <v>0</v>
      </c>
      <c r="Q245" s="616">
        <v>0</v>
      </c>
      <c r="R245" s="701"/>
      <c r="S245" s="701"/>
      <c r="T245" s="701"/>
      <c r="U245" s="701"/>
      <c r="V245" s="701"/>
      <c r="W245" s="701"/>
      <c r="X245" s="701"/>
      <c r="Y245" s="701"/>
      <c r="Z245" s="701"/>
      <c r="AA245" s="701"/>
      <c r="AB245" s="701"/>
    </row>
    <row r="246" spans="1:29">
      <c r="A246" s="616"/>
      <c r="B246" s="721" t="s">
        <v>18</v>
      </c>
      <c r="C246" s="43"/>
      <c r="D246" s="43"/>
      <c r="E246" s="34"/>
      <c r="F246" s="616">
        <v>0</v>
      </c>
      <c r="G246" s="616">
        <v>0</v>
      </c>
      <c r="H246" s="616">
        <v>0</v>
      </c>
      <c r="I246" s="616">
        <v>0</v>
      </c>
      <c r="J246" s="616">
        <v>0</v>
      </c>
      <c r="K246" s="616">
        <v>0</v>
      </c>
      <c r="L246" s="616">
        <v>0</v>
      </c>
      <c r="M246" s="616">
        <v>0</v>
      </c>
      <c r="N246" s="616">
        <v>0</v>
      </c>
      <c r="O246" s="616">
        <v>0</v>
      </c>
      <c r="P246" s="616">
        <v>0</v>
      </c>
      <c r="Q246" s="616">
        <v>0</v>
      </c>
      <c r="R246" s="701"/>
      <c r="S246" s="701"/>
      <c r="T246" s="701"/>
      <c r="U246" s="701"/>
      <c r="V246" s="701"/>
      <c r="W246" s="701"/>
      <c r="X246" s="701"/>
      <c r="Y246" s="701"/>
      <c r="Z246" s="701"/>
      <c r="AA246" s="701"/>
      <c r="AB246" s="701"/>
    </row>
    <row r="247" spans="1:29">
      <c r="A247" s="616"/>
      <c r="B247" s="34" t="s">
        <v>235</v>
      </c>
      <c r="C247" s="34"/>
      <c r="D247" s="34"/>
      <c r="E247" s="34"/>
      <c r="F247" s="616">
        <v>0</v>
      </c>
      <c r="G247" s="616">
        <v>0</v>
      </c>
      <c r="H247" s="616">
        <v>0</v>
      </c>
      <c r="I247" s="616">
        <v>0</v>
      </c>
      <c r="J247" s="616">
        <v>0</v>
      </c>
      <c r="K247" s="616">
        <v>0</v>
      </c>
      <c r="L247" s="616">
        <v>0</v>
      </c>
      <c r="M247" s="616">
        <v>0</v>
      </c>
      <c r="N247" s="616">
        <v>26927</v>
      </c>
      <c r="O247" s="616">
        <v>13096</v>
      </c>
      <c r="P247" s="701">
        <v>105190</v>
      </c>
      <c r="Q247" s="701">
        <v>11469</v>
      </c>
      <c r="R247" s="701"/>
      <c r="S247" s="701">
        <v>861</v>
      </c>
      <c r="T247" s="701"/>
      <c r="U247" s="701">
        <v>4000</v>
      </c>
      <c r="V247" s="701">
        <v>3000</v>
      </c>
      <c r="W247" s="701"/>
      <c r="X247" s="701"/>
      <c r="Y247" s="701"/>
      <c r="Z247" s="701"/>
      <c r="AA247" s="701"/>
      <c r="AB247" s="701">
        <v>3000</v>
      </c>
    </row>
    <row r="248" spans="1:29">
      <c r="A248" s="616"/>
      <c r="B248" s="34" t="s">
        <v>198</v>
      </c>
      <c r="C248" s="34"/>
      <c r="D248" s="34"/>
      <c r="E248" s="34"/>
      <c r="F248" s="616">
        <v>0</v>
      </c>
      <c r="G248" s="616">
        <v>0</v>
      </c>
      <c r="H248" s="616">
        <v>0</v>
      </c>
      <c r="I248" s="616">
        <v>0</v>
      </c>
      <c r="J248" s="616">
        <v>0</v>
      </c>
      <c r="K248" s="616">
        <v>0</v>
      </c>
      <c r="L248" s="616">
        <v>0</v>
      </c>
      <c r="M248" s="616">
        <v>0</v>
      </c>
      <c r="N248" s="616"/>
      <c r="O248" s="616"/>
      <c r="P248" s="701"/>
      <c r="Q248" s="701"/>
      <c r="R248" s="701"/>
      <c r="S248" s="701"/>
      <c r="T248" s="701"/>
      <c r="U248" s="701"/>
      <c r="V248" s="701"/>
      <c r="W248" s="701"/>
      <c r="X248" s="701"/>
      <c r="Y248" s="701"/>
      <c r="Z248" s="701"/>
      <c r="AA248" s="701">
        <v>12000</v>
      </c>
      <c r="AB248" s="701">
        <v>5000</v>
      </c>
    </row>
    <row r="249" spans="1:29">
      <c r="A249" s="616"/>
      <c r="B249" s="34" t="s">
        <v>236</v>
      </c>
      <c r="C249" s="34"/>
      <c r="D249" s="34"/>
      <c r="E249" s="34"/>
      <c r="F249" s="616">
        <v>0</v>
      </c>
      <c r="G249" s="616">
        <v>0</v>
      </c>
      <c r="H249" s="616">
        <v>0</v>
      </c>
      <c r="I249" s="616">
        <v>0</v>
      </c>
      <c r="J249" s="616">
        <v>0</v>
      </c>
      <c r="K249" s="616">
        <v>0</v>
      </c>
      <c r="L249" s="616">
        <v>0</v>
      </c>
      <c r="M249" s="616">
        <v>0</v>
      </c>
      <c r="N249" s="616"/>
      <c r="O249" s="616"/>
      <c r="P249" s="701"/>
      <c r="Q249" s="701"/>
      <c r="R249" s="701"/>
      <c r="S249" s="701"/>
      <c r="T249" s="701"/>
      <c r="U249" s="701"/>
      <c r="V249" s="701">
        <v>10000</v>
      </c>
      <c r="W249" s="701">
        <v>17000</v>
      </c>
      <c r="X249" s="701">
        <v>8000</v>
      </c>
      <c r="Y249" s="701">
        <v>7000</v>
      </c>
      <c r="Z249" s="701">
        <v>8000</v>
      </c>
      <c r="AA249" s="701">
        <v>0</v>
      </c>
      <c r="AB249" s="701">
        <v>5000</v>
      </c>
    </row>
    <row r="250" spans="1:29">
      <c r="A250" s="616"/>
      <c r="B250" s="34" t="s">
        <v>237</v>
      </c>
      <c r="C250" s="34"/>
      <c r="D250" s="34"/>
      <c r="E250" s="34"/>
      <c r="F250" s="616">
        <v>0</v>
      </c>
      <c r="G250" s="616">
        <v>0</v>
      </c>
      <c r="H250" s="616">
        <v>0</v>
      </c>
      <c r="I250" s="616">
        <v>0</v>
      </c>
      <c r="J250" s="616">
        <v>0</v>
      </c>
      <c r="K250" s="616">
        <v>0</v>
      </c>
      <c r="L250" s="616">
        <v>0</v>
      </c>
      <c r="M250" s="616">
        <v>0</v>
      </c>
      <c r="N250" s="702">
        <v>21</v>
      </c>
      <c r="O250" s="702">
        <v>25760</v>
      </c>
      <c r="P250" s="766">
        <v>5500</v>
      </c>
      <c r="Q250" s="766">
        <v>72170</v>
      </c>
      <c r="R250" s="766">
        <v>771</v>
      </c>
      <c r="S250" s="766"/>
      <c r="T250" s="766"/>
      <c r="U250" s="766"/>
      <c r="V250" s="766">
        <v>62000</v>
      </c>
      <c r="W250" s="766">
        <v>74000</v>
      </c>
      <c r="X250" s="766">
        <v>35000</v>
      </c>
      <c r="Y250" s="766">
        <v>47000</v>
      </c>
      <c r="Z250" s="766">
        <v>78000</v>
      </c>
      <c r="AA250" s="766">
        <v>131000</v>
      </c>
      <c r="AB250" s="766">
        <v>59000</v>
      </c>
    </row>
    <row r="251" spans="1:29">
      <c r="A251" s="616"/>
      <c r="B251" s="34" t="s">
        <v>205</v>
      </c>
      <c r="C251" s="34"/>
      <c r="D251" s="34"/>
      <c r="E251" s="34"/>
      <c r="F251" s="616">
        <v>0</v>
      </c>
      <c r="G251" s="616">
        <v>0</v>
      </c>
      <c r="H251" s="616">
        <v>0</v>
      </c>
      <c r="I251" s="616">
        <v>0</v>
      </c>
      <c r="J251" s="616">
        <v>0</v>
      </c>
      <c r="K251" s="616">
        <v>0</v>
      </c>
      <c r="L251" s="616">
        <v>0</v>
      </c>
      <c r="M251" s="616">
        <v>0</v>
      </c>
      <c r="N251" s="701">
        <v>26948</v>
      </c>
      <c r="O251" s="701">
        <v>38856</v>
      </c>
      <c r="P251" s="701">
        <v>110690</v>
      </c>
      <c r="Q251" s="701">
        <v>83639</v>
      </c>
      <c r="R251" s="770">
        <v>771</v>
      </c>
      <c r="S251" s="770">
        <v>861</v>
      </c>
      <c r="T251" s="770">
        <v>0</v>
      </c>
      <c r="U251" s="770">
        <v>4000</v>
      </c>
      <c r="V251" s="770">
        <v>75000</v>
      </c>
      <c r="W251" s="770">
        <v>91000</v>
      </c>
      <c r="X251" s="770">
        <v>43000</v>
      </c>
      <c r="Y251" s="770">
        <v>54000</v>
      </c>
      <c r="Z251" s="770">
        <v>86000</v>
      </c>
      <c r="AA251" s="770">
        <v>143000</v>
      </c>
      <c r="AB251" s="986">
        <v>72000</v>
      </c>
    </row>
    <row r="252" spans="1:29">
      <c r="A252" s="616"/>
      <c r="B252" s="721" t="s">
        <v>206</v>
      </c>
      <c r="C252" s="43"/>
      <c r="D252" s="43"/>
      <c r="E252" s="34"/>
      <c r="F252" s="616">
        <v>0</v>
      </c>
      <c r="G252" s="616">
        <v>0</v>
      </c>
      <c r="H252" s="616">
        <v>0</v>
      </c>
      <c r="I252" s="616">
        <v>0</v>
      </c>
      <c r="J252" s="616">
        <v>0</v>
      </c>
      <c r="K252" s="616">
        <v>0</v>
      </c>
      <c r="L252" s="616">
        <v>0</v>
      </c>
      <c r="M252" s="616">
        <v>0</v>
      </c>
      <c r="N252" s="616"/>
      <c r="O252" s="616"/>
      <c r="P252" s="701"/>
      <c r="Q252" s="701"/>
      <c r="R252" s="701"/>
      <c r="S252" s="701"/>
      <c r="T252" s="701"/>
      <c r="U252" s="701"/>
      <c r="V252" s="701"/>
      <c r="W252" s="701"/>
      <c r="X252" s="701"/>
      <c r="Y252" s="701"/>
      <c r="Z252" s="701"/>
      <c r="AA252" s="693"/>
      <c r="AB252" s="693"/>
    </row>
    <row r="253" spans="1:29">
      <c r="A253" s="616"/>
      <c r="B253" s="34" t="s">
        <v>235</v>
      </c>
      <c r="C253" s="34"/>
      <c r="D253" s="34"/>
      <c r="E253" s="34"/>
      <c r="F253" s="616">
        <v>0</v>
      </c>
      <c r="G253" s="616">
        <v>0</v>
      </c>
      <c r="H253" s="616">
        <v>0</v>
      </c>
      <c r="I253" s="616">
        <v>0</v>
      </c>
      <c r="J253" s="616">
        <v>0</v>
      </c>
      <c r="K253" s="616">
        <v>0</v>
      </c>
      <c r="L253" s="616">
        <v>0</v>
      </c>
      <c r="M253" s="616">
        <v>0</v>
      </c>
      <c r="N253" s="616">
        <v>-6770</v>
      </c>
      <c r="O253" s="616">
        <v>-489</v>
      </c>
      <c r="P253" s="701">
        <v>-37461</v>
      </c>
      <c r="Q253" s="701">
        <v>-50732</v>
      </c>
      <c r="R253" s="701">
        <v>-44816</v>
      </c>
      <c r="S253" s="701">
        <v>-45222</v>
      </c>
      <c r="T253" s="701">
        <v>-33000</v>
      </c>
      <c r="U253" s="701">
        <v>-31000</v>
      </c>
      <c r="V253" s="701"/>
      <c r="W253" s="701">
        <v>-4000</v>
      </c>
      <c r="X253" s="701"/>
      <c r="Y253" s="701"/>
      <c r="Z253" s="701"/>
      <c r="AA253" s="693">
        <v>0</v>
      </c>
      <c r="AB253" s="693">
        <v>-2000</v>
      </c>
    </row>
    <row r="254" spans="1:29">
      <c r="A254" s="616"/>
      <c r="B254" s="34" t="s">
        <v>198</v>
      </c>
      <c r="C254" s="34"/>
      <c r="D254" s="34"/>
      <c r="E254" s="34"/>
      <c r="F254" s="616">
        <v>0</v>
      </c>
      <c r="G254" s="616">
        <v>0</v>
      </c>
      <c r="H254" s="616">
        <v>0</v>
      </c>
      <c r="I254" s="616">
        <v>0</v>
      </c>
      <c r="J254" s="616">
        <v>0</v>
      </c>
      <c r="K254" s="616">
        <v>0</v>
      </c>
      <c r="L254" s="616">
        <v>0</v>
      </c>
      <c r="M254" s="616">
        <v>0</v>
      </c>
      <c r="N254" s="616"/>
      <c r="O254" s="616"/>
      <c r="P254" s="701"/>
      <c r="Q254" s="701"/>
      <c r="R254" s="701"/>
      <c r="S254" s="701"/>
      <c r="T254" s="701"/>
      <c r="U254" s="701"/>
      <c r="V254" s="701"/>
      <c r="W254" s="701"/>
      <c r="X254" s="701"/>
      <c r="Y254" s="701"/>
      <c r="Z254" s="701">
        <v>-4000</v>
      </c>
      <c r="AA254" s="693">
        <v>-1000</v>
      </c>
      <c r="AB254" s="693">
        <v>-5000</v>
      </c>
    </row>
    <row r="255" spans="1:29">
      <c r="A255" s="616"/>
      <c r="B255" s="1111" t="s">
        <v>238</v>
      </c>
      <c r="C255" s="34"/>
      <c r="D255" s="34"/>
      <c r="E255" s="34"/>
      <c r="F255" s="616">
        <v>0</v>
      </c>
      <c r="G255" s="616">
        <v>0</v>
      </c>
      <c r="H255" s="616">
        <v>0</v>
      </c>
      <c r="I255" s="616">
        <v>0</v>
      </c>
      <c r="J255" s="616">
        <v>0</v>
      </c>
      <c r="K255" s="616">
        <v>0</v>
      </c>
      <c r="L255" s="616">
        <v>0</v>
      </c>
      <c r="M255" s="616">
        <v>0</v>
      </c>
      <c r="N255" s="616"/>
      <c r="O255" s="616"/>
      <c r="P255" s="701"/>
      <c r="Q255" s="701"/>
      <c r="R255" s="701"/>
      <c r="S255" s="701"/>
      <c r="T255" s="701"/>
      <c r="U255" s="701"/>
      <c r="V255" s="701"/>
      <c r="W255" s="701"/>
      <c r="X255" s="701"/>
      <c r="Y255" s="701"/>
      <c r="Z255" s="701"/>
      <c r="AA255" s="693"/>
      <c r="AB255" s="693"/>
    </row>
    <row r="256" spans="1:29">
      <c r="A256" s="616"/>
      <c r="B256" s="34" t="s">
        <v>236</v>
      </c>
      <c r="C256" s="34"/>
      <c r="D256" s="34"/>
      <c r="E256" s="34"/>
      <c r="F256" s="616">
        <v>0</v>
      </c>
      <c r="G256" s="616">
        <v>0</v>
      </c>
      <c r="H256" s="616">
        <v>0</v>
      </c>
      <c r="I256" s="616">
        <v>0</v>
      </c>
      <c r="J256" s="616">
        <v>0</v>
      </c>
      <c r="K256" s="616">
        <v>0</v>
      </c>
      <c r="L256" s="616">
        <v>0</v>
      </c>
      <c r="M256" s="616">
        <v>0</v>
      </c>
      <c r="N256" s="616"/>
      <c r="O256" s="616"/>
      <c r="P256" s="701"/>
      <c r="Q256" s="701"/>
      <c r="R256" s="701"/>
      <c r="S256" s="701"/>
      <c r="T256" s="701"/>
      <c r="U256" s="701"/>
      <c r="V256" s="701">
        <v>-58000</v>
      </c>
      <c r="W256" s="701">
        <v>-79000</v>
      </c>
      <c r="X256" s="701">
        <v>-53000</v>
      </c>
      <c r="Y256" s="701">
        <v>-54000</v>
      </c>
      <c r="Z256" s="701">
        <v>-77000</v>
      </c>
      <c r="AA256" s="693">
        <v>-90000</v>
      </c>
      <c r="AB256" s="693">
        <v>-53000</v>
      </c>
    </row>
    <row r="257" spans="1:28">
      <c r="A257" s="616"/>
      <c r="B257" s="34" t="s">
        <v>237</v>
      </c>
      <c r="C257" s="34"/>
      <c r="D257" s="34"/>
      <c r="E257" s="34"/>
      <c r="F257" s="616">
        <v>0</v>
      </c>
      <c r="G257" s="616">
        <v>0</v>
      </c>
      <c r="H257" s="616">
        <v>0</v>
      </c>
      <c r="I257" s="616">
        <v>0</v>
      </c>
      <c r="J257" s="616">
        <v>0</v>
      </c>
      <c r="K257" s="616">
        <v>0</v>
      </c>
      <c r="L257" s="616">
        <v>0</v>
      </c>
      <c r="M257" s="616">
        <v>0</v>
      </c>
      <c r="N257" s="702">
        <v>-117899</v>
      </c>
      <c r="O257" s="702">
        <v>-55959</v>
      </c>
      <c r="P257" s="766">
        <v>-14593</v>
      </c>
      <c r="Q257" s="766">
        <v>-34020</v>
      </c>
      <c r="R257" s="766">
        <v>-156186</v>
      </c>
      <c r="S257" s="766">
        <v>-133598</v>
      </c>
      <c r="T257" s="766">
        <v>-113000</v>
      </c>
      <c r="U257" s="766">
        <v>-130000</v>
      </c>
      <c r="V257" s="766">
        <v>-17000</v>
      </c>
      <c r="W257" s="766">
        <v>-21000</v>
      </c>
      <c r="X257" s="766">
        <v>-36000</v>
      </c>
      <c r="Y257" s="766">
        <v>-4000</v>
      </c>
      <c r="Z257" s="766"/>
      <c r="AA257" s="767"/>
      <c r="AB257" s="767"/>
    </row>
    <row r="258" spans="1:28">
      <c r="A258" s="616"/>
      <c r="B258" s="34" t="s">
        <v>209</v>
      </c>
      <c r="C258" s="34"/>
      <c r="D258" s="34"/>
      <c r="E258" s="34"/>
      <c r="F258" s="616">
        <v>0</v>
      </c>
      <c r="G258" s="616">
        <v>0</v>
      </c>
      <c r="H258" s="616">
        <v>0</v>
      </c>
      <c r="I258" s="616">
        <v>0</v>
      </c>
      <c r="J258" s="616">
        <v>0</v>
      </c>
      <c r="K258" s="616">
        <v>0</v>
      </c>
      <c r="L258" s="616">
        <v>0</v>
      </c>
      <c r="M258" s="616">
        <v>0</v>
      </c>
      <c r="N258" s="701">
        <v>-124669</v>
      </c>
      <c r="O258" s="701">
        <v>-56448</v>
      </c>
      <c r="P258" s="701">
        <v>-52054</v>
      </c>
      <c r="Q258" s="701">
        <v>-84752</v>
      </c>
      <c r="R258" s="770">
        <v>-201002</v>
      </c>
      <c r="S258" s="770">
        <v>-178820</v>
      </c>
      <c r="T258" s="770">
        <v>-146000</v>
      </c>
      <c r="U258" s="770">
        <v>-161000</v>
      </c>
      <c r="V258" s="770">
        <v>-75000</v>
      </c>
      <c r="W258" s="770">
        <v>-104000</v>
      </c>
      <c r="X258" s="770">
        <v>-89000</v>
      </c>
      <c r="Y258" s="770">
        <v>-58000</v>
      </c>
      <c r="Z258" s="770">
        <v>-81000</v>
      </c>
      <c r="AA258" s="986">
        <v>-91000</v>
      </c>
      <c r="AB258" s="986">
        <v>-60000</v>
      </c>
    </row>
    <row r="259" spans="1:28">
      <c r="A259" s="616"/>
      <c r="B259" s="34"/>
      <c r="C259" s="34"/>
      <c r="D259" s="34"/>
      <c r="E259" s="34"/>
      <c r="F259" s="616"/>
      <c r="G259" s="616"/>
      <c r="H259" s="616"/>
      <c r="I259" s="616"/>
      <c r="J259" s="616"/>
      <c r="K259" s="616"/>
      <c r="L259" s="616"/>
      <c r="M259" s="616"/>
      <c r="N259" s="701"/>
      <c r="O259" s="701"/>
      <c r="P259" s="701"/>
      <c r="Q259" s="701"/>
      <c r="R259" s="701"/>
      <c r="S259" s="701"/>
      <c r="T259" s="701"/>
      <c r="U259" s="701"/>
      <c r="V259" s="701"/>
      <c r="W259" s="701"/>
      <c r="X259" s="701"/>
      <c r="Y259" s="701"/>
      <c r="Z259" s="701"/>
      <c r="AA259" s="693"/>
      <c r="AB259" s="693"/>
    </row>
    <row r="260" spans="1:28">
      <c r="A260" s="616"/>
      <c r="B260" s="613" t="s">
        <v>239</v>
      </c>
      <c r="C260" s="34"/>
      <c r="D260" s="34"/>
      <c r="E260" s="34"/>
      <c r="F260" s="616">
        <v>0</v>
      </c>
      <c r="G260" s="616">
        <v>0</v>
      </c>
      <c r="H260" s="616">
        <v>0</v>
      </c>
      <c r="I260" s="616">
        <v>0</v>
      </c>
      <c r="J260" s="616">
        <v>0</v>
      </c>
      <c r="K260" s="616">
        <v>0</v>
      </c>
      <c r="L260" s="616">
        <v>0</v>
      </c>
      <c r="M260" s="616">
        <v>0</v>
      </c>
      <c r="N260" s="701">
        <v>-97721</v>
      </c>
      <c r="O260" s="701">
        <v>-17592</v>
      </c>
      <c r="P260" s="701">
        <v>58636</v>
      </c>
      <c r="Q260" s="701">
        <v>-1113</v>
      </c>
      <c r="R260" s="770">
        <v>-200231</v>
      </c>
      <c r="S260" s="770">
        <v>-177959</v>
      </c>
      <c r="T260" s="770">
        <v>-146000</v>
      </c>
      <c r="U260" s="770">
        <v>-157000</v>
      </c>
      <c r="V260" s="770">
        <v>0</v>
      </c>
      <c r="W260" s="770">
        <v>-13000</v>
      </c>
      <c r="X260" s="770">
        <v>-46000</v>
      </c>
      <c r="Y260" s="770">
        <v>-4000</v>
      </c>
      <c r="Z260" s="770">
        <v>5000</v>
      </c>
      <c r="AA260" s="770">
        <v>52000</v>
      </c>
      <c r="AB260" s="770">
        <v>12000</v>
      </c>
    </row>
    <row r="261" spans="1:28">
      <c r="A261" s="616"/>
      <c r="B261" s="613"/>
      <c r="C261" s="34"/>
      <c r="D261" s="34"/>
      <c r="E261" s="34"/>
      <c r="F261" s="616"/>
      <c r="G261" s="616"/>
      <c r="H261" s="616"/>
      <c r="I261" s="616"/>
      <c r="J261" s="616"/>
      <c r="K261" s="616"/>
      <c r="L261" s="616"/>
      <c r="M261" s="616"/>
      <c r="N261" s="701"/>
      <c r="O261" s="701"/>
      <c r="P261" s="701"/>
      <c r="Q261" s="701"/>
      <c r="R261" s="770"/>
      <c r="S261" s="770"/>
      <c r="T261" s="770"/>
      <c r="U261" s="770"/>
      <c r="V261" s="770"/>
      <c r="W261" s="770"/>
      <c r="X261" s="770"/>
      <c r="Y261" s="770"/>
      <c r="Z261" s="770"/>
      <c r="AA261" s="770"/>
      <c r="AB261" s="770"/>
    </row>
    <row r="262" spans="1:28">
      <c r="A262" s="788" t="s">
        <v>126</v>
      </c>
      <c r="B262" s="1000" t="s">
        <v>240</v>
      </c>
      <c r="C262" s="1000"/>
      <c r="D262" s="1000"/>
      <c r="E262" s="613"/>
      <c r="F262" s="616">
        <v>0</v>
      </c>
      <c r="G262" s="616">
        <v>0</v>
      </c>
      <c r="H262" s="616">
        <v>0</v>
      </c>
      <c r="I262" s="616">
        <v>0</v>
      </c>
      <c r="J262" s="616">
        <v>0</v>
      </c>
      <c r="K262" s="616">
        <v>0</v>
      </c>
      <c r="L262" s="616">
        <v>0</v>
      </c>
      <c r="M262" s="616">
        <v>0</v>
      </c>
      <c r="N262" s="616"/>
      <c r="O262" s="616"/>
      <c r="P262" s="701"/>
      <c r="Q262" s="701"/>
      <c r="R262" s="701"/>
      <c r="S262" s="770"/>
      <c r="T262" s="770"/>
      <c r="U262" s="701"/>
      <c r="V262" s="770"/>
      <c r="W262" s="701"/>
      <c r="X262" s="701"/>
      <c r="Y262" s="701"/>
      <c r="Z262" s="701"/>
      <c r="AA262" s="1064"/>
      <c r="AB262" s="693"/>
    </row>
    <row r="263" spans="1:28">
      <c r="A263" s="616"/>
      <c r="B263" s="721" t="s">
        <v>18</v>
      </c>
      <c r="C263" s="43"/>
      <c r="D263" s="43"/>
      <c r="E263" s="34"/>
      <c r="F263" s="616">
        <v>0</v>
      </c>
      <c r="G263" s="616">
        <v>0</v>
      </c>
      <c r="H263" s="616">
        <v>0</v>
      </c>
      <c r="I263" s="616">
        <v>0</v>
      </c>
      <c r="J263" s="616">
        <v>0</v>
      </c>
      <c r="K263" s="616">
        <v>0</v>
      </c>
      <c r="L263" s="616">
        <v>0</v>
      </c>
      <c r="M263" s="616">
        <v>0</v>
      </c>
      <c r="N263" s="616"/>
      <c r="O263" s="616"/>
      <c r="P263" s="701"/>
      <c r="Q263" s="701"/>
      <c r="R263" s="701"/>
      <c r="S263" s="701"/>
      <c r="T263" s="701"/>
      <c r="U263" s="701"/>
      <c r="V263" s="701"/>
      <c r="W263" s="701"/>
      <c r="X263" s="701"/>
      <c r="Y263" s="701"/>
      <c r="Z263" s="701"/>
      <c r="AA263" s="693"/>
      <c r="AB263" s="693"/>
    </row>
    <row r="264" spans="1:28">
      <c r="A264" s="616"/>
      <c r="B264" s="34" t="s">
        <v>241</v>
      </c>
      <c r="C264" s="34"/>
      <c r="D264" s="34"/>
      <c r="E264" s="34"/>
      <c r="F264" s="616">
        <v>0</v>
      </c>
      <c r="G264" s="616">
        <v>0</v>
      </c>
      <c r="H264" s="616">
        <v>0</v>
      </c>
      <c r="I264" s="616">
        <v>0</v>
      </c>
      <c r="J264" s="616">
        <v>0</v>
      </c>
      <c r="K264" s="616">
        <v>0</v>
      </c>
      <c r="L264" s="616">
        <v>0</v>
      </c>
      <c r="M264" s="616">
        <v>0</v>
      </c>
      <c r="N264" s="616"/>
      <c r="O264" s="616"/>
      <c r="P264" s="701"/>
      <c r="Q264" s="701"/>
      <c r="R264" s="701">
        <v>1255</v>
      </c>
      <c r="S264" s="701">
        <v>2992</v>
      </c>
      <c r="T264" s="701">
        <v>10000</v>
      </c>
      <c r="U264" s="701">
        <v>8000</v>
      </c>
      <c r="V264" s="701">
        <v>5000</v>
      </c>
      <c r="W264" s="701">
        <v>17000</v>
      </c>
      <c r="X264" s="701">
        <v>3000</v>
      </c>
      <c r="Y264" s="701">
        <v>11000</v>
      </c>
      <c r="Z264" s="701">
        <v>1000</v>
      </c>
      <c r="AA264" s="693">
        <v>8000</v>
      </c>
      <c r="AB264" s="693">
        <v>32000</v>
      </c>
    </row>
    <row r="265" spans="1:28">
      <c r="A265" s="616"/>
      <c r="B265" s="1111" t="s">
        <v>238</v>
      </c>
      <c r="C265" s="34"/>
      <c r="D265" s="34"/>
      <c r="E265" s="34"/>
      <c r="F265" s="616">
        <v>0</v>
      </c>
      <c r="G265" s="616">
        <v>0</v>
      </c>
      <c r="H265" s="616">
        <v>0</v>
      </c>
      <c r="I265" s="616">
        <v>0</v>
      </c>
      <c r="J265" s="616">
        <v>0</v>
      </c>
      <c r="K265" s="616">
        <v>0</v>
      </c>
      <c r="L265" s="616">
        <v>0</v>
      </c>
      <c r="M265" s="616">
        <v>0</v>
      </c>
      <c r="N265" s="616">
        <v>13995</v>
      </c>
      <c r="O265" s="616">
        <v>100286</v>
      </c>
      <c r="P265" s="701">
        <v>16326</v>
      </c>
      <c r="Q265" s="701">
        <v>99256</v>
      </c>
      <c r="R265" s="701"/>
      <c r="S265" s="701"/>
      <c r="T265" s="701"/>
      <c r="U265" s="701"/>
      <c r="V265" s="701"/>
      <c r="W265" s="701"/>
      <c r="X265" s="701"/>
      <c r="Y265" s="701"/>
      <c r="Z265" s="701"/>
      <c r="AA265" s="693"/>
      <c r="AB265" s="693"/>
    </row>
    <row r="266" spans="1:28">
      <c r="A266" s="616"/>
      <c r="B266" s="1111" t="s">
        <v>242</v>
      </c>
      <c r="C266" s="34"/>
      <c r="D266" s="34"/>
      <c r="E266" s="34"/>
      <c r="F266" s="616">
        <v>0</v>
      </c>
      <c r="G266" s="616">
        <v>0</v>
      </c>
      <c r="H266" s="616">
        <v>0</v>
      </c>
      <c r="I266" s="616">
        <v>0</v>
      </c>
      <c r="J266" s="616">
        <v>0</v>
      </c>
      <c r="K266" s="616">
        <v>0</v>
      </c>
      <c r="L266" s="616">
        <v>0</v>
      </c>
      <c r="M266" s="616">
        <v>0</v>
      </c>
      <c r="N266" s="616"/>
      <c r="O266" s="616"/>
      <c r="P266" s="701"/>
      <c r="Q266" s="701"/>
      <c r="R266" s="701"/>
      <c r="S266" s="701"/>
      <c r="T266" s="701"/>
      <c r="U266" s="701"/>
      <c r="V266" s="701">
        <v>4000</v>
      </c>
      <c r="W266" s="701">
        <v>2000</v>
      </c>
      <c r="X266" s="701"/>
      <c r="Y266" s="701"/>
      <c r="Z266" s="701">
        <v>6000</v>
      </c>
      <c r="AA266" s="693">
        <v>5000</v>
      </c>
      <c r="AB266" s="693">
        <v>22000</v>
      </c>
    </row>
    <row r="267" spans="1:28">
      <c r="A267" s="616"/>
      <c r="B267" s="1111" t="s">
        <v>243</v>
      </c>
      <c r="C267" s="34"/>
      <c r="D267" s="34"/>
      <c r="E267" s="34"/>
      <c r="F267" s="616">
        <v>0</v>
      </c>
      <c r="G267" s="616">
        <v>0</v>
      </c>
      <c r="H267" s="616">
        <v>0</v>
      </c>
      <c r="I267" s="616">
        <v>0</v>
      </c>
      <c r="J267" s="616">
        <v>0</v>
      </c>
      <c r="K267" s="616">
        <v>0</v>
      </c>
      <c r="L267" s="616">
        <v>0</v>
      </c>
      <c r="M267" s="616">
        <v>0</v>
      </c>
      <c r="N267" s="616"/>
      <c r="O267" s="616"/>
      <c r="P267" s="701"/>
      <c r="Q267" s="701"/>
      <c r="R267" s="701"/>
      <c r="S267" s="701"/>
      <c r="T267" s="701"/>
      <c r="U267" s="701"/>
      <c r="V267" s="701"/>
      <c r="W267" s="701"/>
      <c r="X267" s="701"/>
      <c r="Y267" s="701"/>
      <c r="Z267" s="701"/>
      <c r="AA267" s="693"/>
      <c r="AB267" s="693"/>
    </row>
    <row r="268" spans="1:28">
      <c r="A268" s="616"/>
      <c r="B268" s="1111" t="s">
        <v>244</v>
      </c>
      <c r="C268" s="34"/>
      <c r="D268" s="34"/>
      <c r="E268" s="34"/>
      <c r="F268" s="616">
        <v>0</v>
      </c>
      <c r="G268" s="616">
        <v>0</v>
      </c>
      <c r="H268" s="616">
        <v>0</v>
      </c>
      <c r="I268" s="616">
        <v>0</v>
      </c>
      <c r="J268" s="616">
        <v>0</v>
      </c>
      <c r="K268" s="616">
        <v>0</v>
      </c>
      <c r="L268" s="616">
        <v>0</v>
      </c>
      <c r="M268" s="616">
        <v>0</v>
      </c>
      <c r="N268" s="702"/>
      <c r="O268" s="702"/>
      <c r="P268" s="766"/>
      <c r="Q268" s="766"/>
      <c r="R268" s="766"/>
      <c r="S268" s="766"/>
      <c r="T268" s="766"/>
      <c r="U268" s="766"/>
      <c r="V268" s="766"/>
      <c r="W268" s="766"/>
      <c r="X268" s="766"/>
      <c r="Y268" s="766"/>
      <c r="Z268" s="766"/>
      <c r="AA268" s="767"/>
      <c r="AB268" s="767"/>
    </row>
    <row r="269" spans="1:28">
      <c r="A269" s="616"/>
      <c r="B269" s="34" t="s">
        <v>205</v>
      </c>
      <c r="C269" s="34"/>
      <c r="D269" s="34"/>
      <c r="E269" s="34"/>
      <c r="F269" s="616">
        <v>0</v>
      </c>
      <c r="G269" s="616">
        <v>0</v>
      </c>
      <c r="H269" s="616">
        <v>0</v>
      </c>
      <c r="I269" s="616">
        <v>0</v>
      </c>
      <c r="J269" s="616">
        <v>0</v>
      </c>
      <c r="K269" s="616">
        <v>0</v>
      </c>
      <c r="L269" s="616">
        <v>0</v>
      </c>
      <c r="M269" s="616">
        <v>0</v>
      </c>
      <c r="N269" s="701">
        <v>13995</v>
      </c>
      <c r="O269" s="701">
        <v>100286</v>
      </c>
      <c r="P269" s="701">
        <v>16326</v>
      </c>
      <c r="Q269" s="701">
        <v>99256</v>
      </c>
      <c r="R269" s="770">
        <v>1255</v>
      </c>
      <c r="S269" s="770">
        <v>2992</v>
      </c>
      <c r="T269" s="770">
        <v>10000</v>
      </c>
      <c r="U269" s="770">
        <v>8000</v>
      </c>
      <c r="V269" s="770">
        <v>9000</v>
      </c>
      <c r="W269" s="770">
        <v>19000</v>
      </c>
      <c r="X269" s="770">
        <v>3000</v>
      </c>
      <c r="Y269" s="770">
        <v>11000</v>
      </c>
      <c r="Z269" s="770">
        <v>7000</v>
      </c>
      <c r="AA269" s="986">
        <v>13000</v>
      </c>
      <c r="AB269" s="986">
        <v>54000</v>
      </c>
    </row>
    <row r="270" spans="1:28">
      <c r="A270" s="616"/>
      <c r="B270" s="721" t="s">
        <v>206</v>
      </c>
      <c r="C270" s="721"/>
      <c r="D270" s="43"/>
      <c r="E270" s="34"/>
      <c r="F270" s="616">
        <v>0</v>
      </c>
      <c r="G270" s="616">
        <v>0</v>
      </c>
      <c r="H270" s="616">
        <v>0</v>
      </c>
      <c r="I270" s="616">
        <v>0</v>
      </c>
      <c r="J270" s="616">
        <v>0</v>
      </c>
      <c r="K270" s="616">
        <v>0</v>
      </c>
      <c r="L270" s="616">
        <v>0</v>
      </c>
      <c r="M270" s="616">
        <v>0</v>
      </c>
      <c r="N270" s="616"/>
      <c r="O270" s="616"/>
      <c r="P270" s="701"/>
      <c r="Q270" s="701"/>
      <c r="R270" s="701"/>
      <c r="S270" s="701"/>
      <c r="T270" s="701"/>
      <c r="U270" s="701"/>
      <c r="V270" s="701"/>
      <c r="W270" s="701"/>
      <c r="X270" s="701"/>
      <c r="Y270" s="34"/>
      <c r="Z270" s="34"/>
      <c r="AA270" s="693"/>
      <c r="AB270" s="693"/>
    </row>
    <row r="271" spans="1:28">
      <c r="A271" s="616"/>
      <c r="B271" s="34" t="s">
        <v>241</v>
      </c>
      <c r="C271" s="34"/>
      <c r="D271" s="34"/>
      <c r="E271" s="34"/>
      <c r="F271" s="616">
        <v>0</v>
      </c>
      <c r="G271" s="616">
        <v>0</v>
      </c>
      <c r="H271" s="616">
        <v>0</v>
      </c>
      <c r="I271" s="616">
        <v>0</v>
      </c>
      <c r="J271" s="616">
        <v>0</v>
      </c>
      <c r="K271" s="616">
        <v>0</v>
      </c>
      <c r="L271" s="616">
        <v>0</v>
      </c>
      <c r="M271" s="616">
        <v>0</v>
      </c>
      <c r="N271" s="616"/>
      <c r="O271" s="616"/>
      <c r="P271" s="701"/>
      <c r="Q271" s="701"/>
      <c r="R271" s="701">
        <v>-25489</v>
      </c>
      <c r="S271" s="701">
        <v>-5526</v>
      </c>
      <c r="T271" s="701">
        <v>-1000</v>
      </c>
      <c r="U271" s="701">
        <v>-4000</v>
      </c>
      <c r="V271" s="701">
        <v>-6000</v>
      </c>
      <c r="W271" s="701">
        <v>-2000</v>
      </c>
      <c r="X271" s="701">
        <v>-6000</v>
      </c>
      <c r="Y271" s="701">
        <v>-3000</v>
      </c>
      <c r="Z271" s="701">
        <v>-29000</v>
      </c>
      <c r="AA271" s="693">
        <v>-33000</v>
      </c>
      <c r="AB271" s="693">
        <v>-93000</v>
      </c>
    </row>
    <row r="272" spans="1:28">
      <c r="A272" s="616"/>
      <c r="B272" s="34" t="s">
        <v>242</v>
      </c>
      <c r="C272" s="34"/>
      <c r="D272" s="34"/>
      <c r="E272" s="34"/>
      <c r="F272" s="616">
        <v>0</v>
      </c>
      <c r="G272" s="616">
        <v>0</v>
      </c>
      <c r="H272" s="616">
        <v>0</v>
      </c>
      <c r="I272" s="616">
        <v>0</v>
      </c>
      <c r="J272" s="616">
        <v>0</v>
      </c>
      <c r="K272" s="616">
        <v>0</v>
      </c>
      <c r="L272" s="616">
        <v>0</v>
      </c>
      <c r="M272" s="616">
        <v>0</v>
      </c>
      <c r="N272" s="616"/>
      <c r="O272" s="616"/>
      <c r="P272" s="701"/>
      <c r="Q272" s="701"/>
      <c r="R272" s="766"/>
      <c r="S272" s="766"/>
      <c r="T272" s="766"/>
      <c r="U272" s="766"/>
      <c r="V272" s="766"/>
      <c r="W272" s="766">
        <v>0</v>
      </c>
      <c r="X272" s="766">
        <v>-7000</v>
      </c>
      <c r="Y272" s="766"/>
      <c r="Z272" s="766">
        <v>-3000</v>
      </c>
      <c r="AA272" s="767">
        <v>-3000</v>
      </c>
      <c r="AB272" s="767">
        <v>-24000</v>
      </c>
    </row>
    <row r="273" spans="1:29">
      <c r="A273" s="616"/>
      <c r="B273" s="34" t="s">
        <v>209</v>
      </c>
      <c r="C273" s="34"/>
      <c r="D273" s="34"/>
      <c r="E273" s="34"/>
      <c r="F273" s="616">
        <v>0</v>
      </c>
      <c r="G273" s="616">
        <v>0</v>
      </c>
      <c r="H273" s="616">
        <v>0</v>
      </c>
      <c r="I273" s="616">
        <v>0</v>
      </c>
      <c r="J273" s="616">
        <v>0</v>
      </c>
      <c r="K273" s="616">
        <v>0</v>
      </c>
      <c r="L273" s="616">
        <v>0</v>
      </c>
      <c r="M273" s="616">
        <v>0</v>
      </c>
      <c r="N273" s="701">
        <v>0</v>
      </c>
      <c r="O273" s="701">
        <v>0</v>
      </c>
      <c r="P273" s="701">
        <v>0</v>
      </c>
      <c r="Q273" s="701">
        <v>0</v>
      </c>
      <c r="R273" s="770">
        <v>-25489</v>
      </c>
      <c r="S273" s="770">
        <v>-5526</v>
      </c>
      <c r="T273" s="770">
        <v>-1000</v>
      </c>
      <c r="U273" s="770">
        <v>-4000</v>
      </c>
      <c r="V273" s="770">
        <v>-6000</v>
      </c>
      <c r="W273" s="770">
        <v>-2000</v>
      </c>
      <c r="X273" s="770">
        <v>-13000</v>
      </c>
      <c r="Y273" s="770">
        <v>-3000</v>
      </c>
      <c r="Z273" s="770">
        <v>-32000</v>
      </c>
      <c r="AA273" s="986">
        <v>-36000</v>
      </c>
      <c r="AB273" s="986">
        <v>-117000</v>
      </c>
    </row>
    <row r="274" spans="1:29">
      <c r="A274" s="616"/>
      <c r="B274" s="34"/>
      <c r="C274" s="34"/>
      <c r="D274" s="34"/>
      <c r="E274" s="34"/>
      <c r="F274" s="616"/>
      <c r="G274" s="616"/>
      <c r="H274" s="616"/>
      <c r="I274" s="616"/>
      <c r="J274" s="616"/>
      <c r="K274" s="616"/>
      <c r="L274" s="616"/>
      <c r="M274" s="616"/>
      <c r="N274" s="701"/>
      <c r="O274" s="701"/>
      <c r="P274" s="701"/>
      <c r="Q274" s="701"/>
      <c r="R274" s="701"/>
      <c r="S274" s="770"/>
      <c r="T274" s="770"/>
      <c r="U274" s="770"/>
      <c r="V274" s="770"/>
      <c r="W274" s="770"/>
      <c r="X274" s="770"/>
      <c r="Y274" s="770"/>
      <c r="Z274" s="770"/>
      <c r="AA274" s="986"/>
      <c r="AB274" s="986"/>
    </row>
    <row r="275" spans="1:29">
      <c r="A275" s="702"/>
      <c r="B275" s="721" t="s">
        <v>245</v>
      </c>
      <c r="C275" s="721"/>
      <c r="D275" s="721"/>
      <c r="E275" s="721"/>
      <c r="F275" s="724">
        <v>0</v>
      </c>
      <c r="G275" s="724">
        <v>0</v>
      </c>
      <c r="H275" s="724">
        <v>0</v>
      </c>
      <c r="I275" s="724">
        <v>0</v>
      </c>
      <c r="J275" s="724">
        <v>0</v>
      </c>
      <c r="K275" s="724">
        <v>0</v>
      </c>
      <c r="L275" s="724">
        <v>0</v>
      </c>
      <c r="M275" s="724">
        <v>0</v>
      </c>
      <c r="N275" s="1311">
        <v>13995</v>
      </c>
      <c r="O275" s="1311">
        <v>100286</v>
      </c>
      <c r="P275" s="1311">
        <v>16326</v>
      </c>
      <c r="Q275" s="1311">
        <v>99256</v>
      </c>
      <c r="R275" s="1311">
        <v>26744</v>
      </c>
      <c r="S275" s="1311">
        <v>8518</v>
      </c>
      <c r="T275" s="1311">
        <v>11000</v>
      </c>
      <c r="U275" s="1311">
        <v>12000</v>
      </c>
      <c r="V275" s="1311">
        <v>15000</v>
      </c>
      <c r="W275" s="1311">
        <v>21000</v>
      </c>
      <c r="X275" s="1311">
        <v>16000</v>
      </c>
      <c r="Y275" s="1311">
        <v>14000</v>
      </c>
      <c r="Z275" s="1311">
        <v>39000</v>
      </c>
      <c r="AA275" s="1311">
        <v>49000</v>
      </c>
      <c r="AB275" s="1165">
        <v>171000</v>
      </c>
    </row>
    <row r="276" spans="1:29" ht="18">
      <c r="A276" s="1180"/>
      <c r="B276" s="1180"/>
      <c r="C276" s="1180"/>
      <c r="D276" s="1180"/>
      <c r="E276" s="1508"/>
      <c r="F276" s="1508"/>
      <c r="G276" s="1508"/>
      <c r="H276" s="1508"/>
      <c r="I276" s="763"/>
      <c r="J276" s="763"/>
      <c r="K276" s="763"/>
      <c r="L276" s="1510"/>
      <c r="M276" s="1510"/>
      <c r="N276" s="1510"/>
      <c r="O276" s="761"/>
      <c r="P276" s="752"/>
      <c r="Q276" s="684"/>
      <c r="R276" s="684"/>
      <c r="S276" s="684"/>
      <c r="T276" s="684"/>
      <c r="U276" s="684"/>
      <c r="V276" s="684"/>
      <c r="W276" s="1552" t="s">
        <v>7</v>
      </c>
      <c r="X276" s="1553"/>
      <c r="Y276" s="1553"/>
      <c r="Z276" s="1553"/>
      <c r="AA276" s="1554"/>
      <c r="AB276" s="1084" t="s">
        <v>1463</v>
      </c>
      <c r="AC276" s="693"/>
    </row>
    <row r="277" spans="1:29">
      <c r="A277" s="1507"/>
      <c r="B277" s="1507"/>
      <c r="C277" s="1507"/>
      <c r="D277" s="1507"/>
      <c r="E277" s="1507"/>
      <c r="F277" s="43">
        <v>0</v>
      </c>
      <c r="G277" s="43">
        <v>1</v>
      </c>
      <c r="H277" s="43">
        <v>2</v>
      </c>
      <c r="I277" s="43">
        <v>3</v>
      </c>
      <c r="J277" s="43">
        <v>4</v>
      </c>
      <c r="K277" s="43">
        <v>5</v>
      </c>
      <c r="L277" s="43">
        <v>6</v>
      </c>
      <c r="M277" s="43">
        <v>7</v>
      </c>
      <c r="N277" s="612">
        <v>8</v>
      </c>
      <c r="O277" s="43">
        <v>9</v>
      </c>
      <c r="P277" s="43">
        <v>10</v>
      </c>
      <c r="Q277" s="43">
        <v>11</v>
      </c>
      <c r="R277" s="43">
        <v>0</v>
      </c>
      <c r="S277" s="43">
        <v>1</v>
      </c>
      <c r="T277" s="43">
        <v>2</v>
      </c>
      <c r="U277" s="43">
        <v>3</v>
      </c>
      <c r="V277" s="43">
        <v>4</v>
      </c>
      <c r="W277" s="43">
        <v>5</v>
      </c>
      <c r="X277" s="43">
        <v>6</v>
      </c>
      <c r="Y277" s="43">
        <v>7</v>
      </c>
      <c r="Z277" s="43">
        <v>8</v>
      </c>
      <c r="AA277" s="43">
        <v>9</v>
      </c>
      <c r="AB277" s="43">
        <v>10</v>
      </c>
      <c r="AC277" s="693"/>
    </row>
    <row r="278" spans="1:29">
      <c r="E278" s="1276" t="s">
        <v>44</v>
      </c>
      <c r="F278" s="740">
        <v>1999</v>
      </c>
      <c r="G278" s="740">
        <v>2000</v>
      </c>
      <c r="H278" s="740">
        <v>2001</v>
      </c>
      <c r="I278" s="740">
        <v>2002</v>
      </c>
      <c r="J278" s="740">
        <v>2003</v>
      </c>
      <c r="K278" s="740">
        <v>2004</v>
      </c>
      <c r="L278" s="740">
        <v>2005</v>
      </c>
      <c r="M278" s="740">
        <v>2006</v>
      </c>
      <c r="N278" s="740">
        <v>2007</v>
      </c>
      <c r="O278" s="740">
        <v>2008</v>
      </c>
      <c r="P278" s="740">
        <v>2009</v>
      </c>
      <c r="Q278" s="740">
        <v>2010</v>
      </c>
      <c r="R278" s="980">
        <v>2011</v>
      </c>
      <c r="S278" s="980">
        <v>2012</v>
      </c>
      <c r="T278" s="980">
        <v>2013</v>
      </c>
      <c r="U278" s="980">
        <v>2014</v>
      </c>
      <c r="V278" s="980">
        <v>2015</v>
      </c>
      <c r="W278" s="980">
        <v>2016</v>
      </c>
      <c r="X278" s="980">
        <v>2017</v>
      </c>
      <c r="Y278" s="980">
        <v>2018</v>
      </c>
      <c r="Z278" s="980">
        <v>2019</v>
      </c>
      <c r="AA278" s="980">
        <v>2020</v>
      </c>
      <c r="AB278" s="980">
        <v>2021</v>
      </c>
      <c r="AC278" s="693"/>
    </row>
    <row r="279" spans="1:29">
      <c r="A279" s="1506" t="s">
        <v>7</v>
      </c>
      <c r="B279" s="1506"/>
      <c r="C279" s="1506"/>
      <c r="D279" s="1506"/>
      <c r="E279" s="34"/>
      <c r="F279" s="616"/>
      <c r="G279" s="616"/>
      <c r="H279" s="616"/>
      <c r="I279" s="616"/>
      <c r="J279" s="616"/>
      <c r="K279" s="616"/>
      <c r="L279" s="616"/>
      <c r="M279" s="616"/>
      <c r="N279" s="616"/>
      <c r="O279" s="616"/>
      <c r="P279" s="701"/>
      <c r="Q279" s="701"/>
      <c r="R279" s="701"/>
      <c r="S279" s="701"/>
      <c r="T279" s="701"/>
      <c r="U279" s="701"/>
      <c r="V279" s="701"/>
      <c r="W279" s="701"/>
      <c r="X279" s="701"/>
      <c r="Y279" s="701"/>
      <c r="Z279" s="701"/>
      <c r="AA279" s="693"/>
      <c r="AB279" s="34"/>
      <c r="AC279" s="693"/>
    </row>
    <row r="280" spans="1:29">
      <c r="A280" s="616"/>
      <c r="B280" s="721" t="s">
        <v>246</v>
      </c>
      <c r="C280" s="721"/>
      <c r="D280" s="721"/>
      <c r="E280" s="34"/>
      <c r="F280" s="616">
        <v>0</v>
      </c>
      <c r="G280" s="616">
        <v>0</v>
      </c>
      <c r="H280" s="616">
        <v>0</v>
      </c>
      <c r="I280" s="616">
        <v>0</v>
      </c>
      <c r="J280" s="616">
        <v>0</v>
      </c>
      <c r="K280" s="616">
        <v>0</v>
      </c>
      <c r="L280" s="616">
        <v>0</v>
      </c>
      <c r="M280" s="616">
        <v>0</v>
      </c>
      <c r="N280" s="616"/>
      <c r="O280" s="616"/>
      <c r="P280" s="701"/>
      <c r="Q280" s="701"/>
      <c r="R280" s="701"/>
      <c r="S280" s="701"/>
      <c r="T280" s="701"/>
      <c r="U280" s="701"/>
      <c r="V280" s="701"/>
      <c r="W280" s="701"/>
      <c r="X280" s="701"/>
      <c r="Y280" s="701"/>
      <c r="Z280" s="701"/>
      <c r="AA280" s="693"/>
      <c r="AB280" s="693"/>
      <c r="AC280" s="693"/>
    </row>
    <row r="281" spans="1:29">
      <c r="A281" s="616"/>
      <c r="B281" s="34" t="s">
        <v>1166</v>
      </c>
      <c r="C281" s="34"/>
      <c r="D281" s="185"/>
      <c r="E281" s="34"/>
      <c r="F281" s="616">
        <v>0</v>
      </c>
      <c r="G281" s="616">
        <v>0</v>
      </c>
      <c r="H281" s="616">
        <v>0</v>
      </c>
      <c r="I281" s="616">
        <v>0</v>
      </c>
      <c r="J281" s="616">
        <v>0</v>
      </c>
      <c r="K281" s="616">
        <v>0</v>
      </c>
      <c r="L281" s="616">
        <v>0</v>
      </c>
      <c r="M281" s="616">
        <v>0</v>
      </c>
      <c r="N281" s="616">
        <v>40943</v>
      </c>
      <c r="O281" s="616">
        <v>139142</v>
      </c>
      <c r="P281" s="701">
        <v>127016</v>
      </c>
      <c r="Q281" s="701">
        <v>182895</v>
      </c>
      <c r="R281" s="701">
        <v>2026</v>
      </c>
      <c r="S281" s="701">
        <v>3853</v>
      </c>
      <c r="T281" s="701">
        <v>10000</v>
      </c>
      <c r="U281" s="701">
        <v>12000</v>
      </c>
      <c r="V281" s="701">
        <v>84000</v>
      </c>
      <c r="W281" s="701">
        <v>110000</v>
      </c>
      <c r="X281" s="701">
        <v>46000</v>
      </c>
      <c r="Y281" s="701">
        <v>65000</v>
      </c>
      <c r="Z281" s="701">
        <v>93000</v>
      </c>
      <c r="AA281" s="693">
        <v>156000</v>
      </c>
      <c r="AB281" s="693">
        <v>126000</v>
      </c>
      <c r="AC281" s="693"/>
    </row>
    <row r="282" spans="1:29">
      <c r="A282" s="616"/>
      <c r="B282" s="34" t="s">
        <v>247</v>
      </c>
      <c r="C282" s="34"/>
      <c r="D282" s="1276"/>
      <c r="E282" s="34"/>
      <c r="F282" s="616">
        <v>0</v>
      </c>
      <c r="G282" s="616">
        <v>0</v>
      </c>
      <c r="H282" s="616">
        <v>0</v>
      </c>
      <c r="I282" s="616">
        <v>0</v>
      </c>
      <c r="J282" s="616">
        <v>0</v>
      </c>
      <c r="K282" s="616">
        <v>0</v>
      </c>
      <c r="L282" s="616">
        <v>0</v>
      </c>
      <c r="M282" s="616">
        <v>0</v>
      </c>
      <c r="N282" s="702">
        <v>-124669</v>
      </c>
      <c r="O282" s="702">
        <v>-56448</v>
      </c>
      <c r="P282" s="695">
        <v>-52054</v>
      </c>
      <c r="Q282" s="695">
        <v>-84752</v>
      </c>
      <c r="R282" s="695">
        <v>-226491</v>
      </c>
      <c r="S282" s="695">
        <v>-184346</v>
      </c>
      <c r="T282" s="695">
        <v>-147000</v>
      </c>
      <c r="U282" s="695">
        <v>-165000</v>
      </c>
      <c r="V282" s="695">
        <v>-81000</v>
      </c>
      <c r="W282" s="1124">
        <v>-106000</v>
      </c>
      <c r="X282" s="695">
        <v>-102000</v>
      </c>
      <c r="Y282" s="695">
        <v>-61000</v>
      </c>
      <c r="Z282" s="695">
        <v>-113000</v>
      </c>
      <c r="AA282" s="767">
        <v>-127000</v>
      </c>
      <c r="AB282" s="767">
        <v>-177000</v>
      </c>
      <c r="AC282" s="693"/>
    </row>
    <row r="283" spans="1:29">
      <c r="A283" s="616"/>
      <c r="B283" s="613" t="s">
        <v>1167</v>
      </c>
      <c r="C283" s="34"/>
      <c r="D283" s="185"/>
      <c r="E283" s="34"/>
      <c r="F283" s="616">
        <v>0</v>
      </c>
      <c r="G283" s="616">
        <v>0</v>
      </c>
      <c r="H283" s="616">
        <v>0</v>
      </c>
      <c r="I283" s="616">
        <v>0</v>
      </c>
      <c r="J283" s="616">
        <v>0</v>
      </c>
      <c r="K283" s="616">
        <v>0</v>
      </c>
      <c r="L283" s="616">
        <v>0</v>
      </c>
      <c r="M283" s="616">
        <v>0</v>
      </c>
      <c r="N283" s="694">
        <v>-83726</v>
      </c>
      <c r="O283" s="694">
        <v>82694</v>
      </c>
      <c r="P283" s="694">
        <v>74962</v>
      </c>
      <c r="Q283" s="694">
        <v>98143</v>
      </c>
      <c r="R283" s="771">
        <v>-224465</v>
      </c>
      <c r="S283" s="771">
        <v>-180493</v>
      </c>
      <c r="T283" s="771">
        <v>-137000</v>
      </c>
      <c r="U283" s="771">
        <v>-153000</v>
      </c>
      <c r="V283" s="771">
        <v>3000</v>
      </c>
      <c r="W283" s="1112">
        <v>4000</v>
      </c>
      <c r="X283" s="771">
        <v>-56000</v>
      </c>
      <c r="Y283" s="771">
        <v>4000</v>
      </c>
      <c r="Z283" s="1112">
        <v>-20000</v>
      </c>
      <c r="AA283" s="986">
        <v>29000</v>
      </c>
      <c r="AB283" s="986">
        <v>-51000</v>
      </c>
      <c r="AC283" s="693"/>
    </row>
    <row r="284" spans="1:29">
      <c r="A284" s="616"/>
      <c r="B284" s="34"/>
      <c r="C284" s="34"/>
      <c r="D284" s="1276" t="s">
        <v>93</v>
      </c>
      <c r="E284" s="34"/>
      <c r="F284" s="616">
        <v>0</v>
      </c>
      <c r="G284" s="616">
        <v>0</v>
      </c>
      <c r="H284" s="616">
        <v>0</v>
      </c>
      <c r="I284" s="616">
        <v>0</v>
      </c>
      <c r="J284" s="616">
        <v>0</v>
      </c>
      <c r="K284" s="616">
        <v>0</v>
      </c>
      <c r="L284" s="616">
        <v>0</v>
      </c>
      <c r="M284" s="616">
        <v>0</v>
      </c>
      <c r="N284" s="694">
        <v>-3033</v>
      </c>
      <c r="O284" s="694">
        <v>-114454</v>
      </c>
      <c r="P284" s="694">
        <v>-87915</v>
      </c>
      <c r="Q284" s="694">
        <v>-106229</v>
      </c>
      <c r="R284" s="694">
        <v>0</v>
      </c>
      <c r="S284" s="694">
        <v>0</v>
      </c>
      <c r="T284" s="694">
        <v>0</v>
      </c>
      <c r="U284" s="694">
        <v>0</v>
      </c>
      <c r="V284" s="694">
        <v>0</v>
      </c>
      <c r="W284" s="694">
        <v>0</v>
      </c>
      <c r="X284" s="694">
        <v>0</v>
      </c>
      <c r="Y284" s="694">
        <v>0</v>
      </c>
      <c r="Z284" s="1113">
        <v>0</v>
      </c>
      <c r="AA284" s="1113">
        <v>0</v>
      </c>
      <c r="AB284" s="1113">
        <v>0</v>
      </c>
      <c r="AC284" s="693"/>
    </row>
    <row r="285" spans="1:29">
      <c r="A285" s="616"/>
      <c r="B285" s="721" t="s">
        <v>205</v>
      </c>
      <c r="C285" s="721"/>
      <c r="D285" s="618"/>
      <c r="E285" s="34"/>
      <c r="F285" s="616">
        <v>0</v>
      </c>
      <c r="G285" s="616">
        <v>0</v>
      </c>
      <c r="H285" s="616">
        <v>0</v>
      </c>
      <c r="I285" s="616">
        <v>0</v>
      </c>
      <c r="J285" s="616">
        <v>0</v>
      </c>
      <c r="K285" s="616">
        <v>0</v>
      </c>
      <c r="L285" s="616">
        <v>0</v>
      </c>
      <c r="M285" s="616">
        <v>0</v>
      </c>
      <c r="N285" s="616"/>
      <c r="O285" s="616"/>
      <c r="P285" s="694"/>
      <c r="Q285" s="694"/>
      <c r="R285" s="694"/>
      <c r="S285" s="694"/>
      <c r="T285" s="694"/>
      <c r="U285" s="694"/>
      <c r="V285" s="694"/>
      <c r="W285" s="694"/>
      <c r="X285" s="694"/>
      <c r="Y285" s="694"/>
      <c r="Z285" s="1113"/>
      <c r="AA285" s="693"/>
      <c r="AB285" s="701"/>
      <c r="AC285" s="693"/>
    </row>
    <row r="286" spans="1:29">
      <c r="A286" s="616"/>
      <c r="B286" s="34" t="s">
        <v>248</v>
      </c>
      <c r="C286" s="34"/>
      <c r="D286" s="185"/>
      <c r="E286" s="34"/>
      <c r="F286" s="616">
        <v>0</v>
      </c>
      <c r="G286" s="616">
        <v>0</v>
      </c>
      <c r="H286" s="616">
        <v>0</v>
      </c>
      <c r="I286" s="616">
        <v>0</v>
      </c>
      <c r="J286" s="616">
        <v>0</v>
      </c>
      <c r="K286" s="616">
        <v>0</v>
      </c>
      <c r="L286" s="616">
        <v>0</v>
      </c>
      <c r="M286" s="616">
        <v>0</v>
      </c>
      <c r="N286" s="616">
        <v>26948</v>
      </c>
      <c r="O286" s="616">
        <v>38856</v>
      </c>
      <c r="P286" s="616">
        <v>110690</v>
      </c>
      <c r="Q286" s="616">
        <v>83639</v>
      </c>
      <c r="R286" s="693">
        <v>771</v>
      </c>
      <c r="S286" s="693">
        <v>861</v>
      </c>
      <c r="T286" s="693">
        <v>0</v>
      </c>
      <c r="U286" s="693">
        <v>4000</v>
      </c>
      <c r="V286" s="693">
        <v>75000</v>
      </c>
      <c r="W286" s="693">
        <v>91000</v>
      </c>
      <c r="X286" s="693">
        <v>43000</v>
      </c>
      <c r="Y286" s="693">
        <v>54000</v>
      </c>
      <c r="Z286" s="693">
        <v>86000</v>
      </c>
      <c r="AA286" s="693">
        <v>143000</v>
      </c>
      <c r="AB286" s="693">
        <v>72000</v>
      </c>
      <c r="AC286" s="693"/>
    </row>
    <row r="287" spans="1:29">
      <c r="A287" s="616"/>
      <c r="B287" s="34" t="s">
        <v>249</v>
      </c>
      <c r="C287" s="34"/>
      <c r="D287" s="185"/>
      <c r="E287" s="34"/>
      <c r="F287" s="616">
        <v>0</v>
      </c>
      <c r="G287" s="616">
        <v>0</v>
      </c>
      <c r="H287" s="616">
        <v>0</v>
      </c>
      <c r="I287" s="616">
        <v>0</v>
      </c>
      <c r="J287" s="616">
        <v>0</v>
      </c>
      <c r="K287" s="616">
        <v>0</v>
      </c>
      <c r="L287" s="616">
        <v>0</v>
      </c>
      <c r="M287" s="616">
        <v>0</v>
      </c>
      <c r="N287" s="702">
        <v>13995</v>
      </c>
      <c r="O287" s="702">
        <v>100286</v>
      </c>
      <c r="P287" s="702">
        <v>16326</v>
      </c>
      <c r="Q287" s="702">
        <v>99256</v>
      </c>
      <c r="R287" s="702">
        <v>1255</v>
      </c>
      <c r="S287" s="702">
        <v>2992</v>
      </c>
      <c r="T287" s="702">
        <v>10000</v>
      </c>
      <c r="U287" s="702">
        <v>8000</v>
      </c>
      <c r="V287" s="702">
        <v>9000</v>
      </c>
      <c r="W287" s="702">
        <v>19000</v>
      </c>
      <c r="X287" s="702">
        <v>3000</v>
      </c>
      <c r="Y287" s="702">
        <v>11000</v>
      </c>
      <c r="Z287" s="702">
        <v>7000</v>
      </c>
      <c r="AA287" s="767">
        <v>13000</v>
      </c>
      <c r="AB287" s="767">
        <v>54000</v>
      </c>
      <c r="AC287" s="693"/>
    </row>
    <row r="288" spans="1:29">
      <c r="A288" s="616"/>
      <c r="B288" s="613" t="s">
        <v>205</v>
      </c>
      <c r="C288" s="34"/>
      <c r="D288" s="185"/>
      <c r="E288" s="34"/>
      <c r="F288" s="616">
        <v>0</v>
      </c>
      <c r="G288" s="616">
        <v>0</v>
      </c>
      <c r="H288" s="616">
        <v>0</v>
      </c>
      <c r="I288" s="616">
        <v>0</v>
      </c>
      <c r="J288" s="616">
        <v>0</v>
      </c>
      <c r="K288" s="616">
        <v>0</v>
      </c>
      <c r="L288" s="616">
        <v>0</v>
      </c>
      <c r="M288" s="616">
        <v>0</v>
      </c>
      <c r="N288" s="616">
        <v>40943</v>
      </c>
      <c r="O288" s="616">
        <v>139142</v>
      </c>
      <c r="P288" s="616">
        <v>127016</v>
      </c>
      <c r="Q288" s="616">
        <v>182895</v>
      </c>
      <c r="R288" s="1133">
        <v>2026</v>
      </c>
      <c r="S288" s="1133">
        <v>3853</v>
      </c>
      <c r="T288" s="1133">
        <v>10000</v>
      </c>
      <c r="U288" s="1133">
        <v>12000</v>
      </c>
      <c r="V288" s="1133">
        <v>84000</v>
      </c>
      <c r="W288" s="1133">
        <v>110000</v>
      </c>
      <c r="X288" s="1133">
        <v>46000</v>
      </c>
      <c r="Y288" s="1133">
        <v>65000</v>
      </c>
      <c r="Z288" s="1133">
        <v>93000</v>
      </c>
      <c r="AA288" s="986">
        <v>156000</v>
      </c>
      <c r="AB288" s="986">
        <v>126000</v>
      </c>
      <c r="AC288" s="693"/>
    </row>
    <row r="289" spans="1:29">
      <c r="A289" s="616"/>
      <c r="B289" s="34"/>
      <c r="C289" s="34"/>
      <c r="D289" s="1276" t="s">
        <v>93</v>
      </c>
      <c r="E289" s="34"/>
      <c r="F289" s="616">
        <v>0</v>
      </c>
      <c r="G289" s="616">
        <v>0</v>
      </c>
      <c r="H289" s="616">
        <v>0</v>
      </c>
      <c r="I289" s="616">
        <v>0</v>
      </c>
      <c r="J289" s="616">
        <v>0</v>
      </c>
      <c r="K289" s="616">
        <v>0</v>
      </c>
      <c r="L289" s="616">
        <v>0</v>
      </c>
      <c r="M289" s="616">
        <v>0</v>
      </c>
      <c r="N289" s="616">
        <v>0</v>
      </c>
      <c r="O289" s="616">
        <v>0</v>
      </c>
      <c r="P289" s="616">
        <v>0</v>
      </c>
      <c r="Q289" s="616">
        <v>0</v>
      </c>
      <c r="R289" s="616">
        <v>0</v>
      </c>
      <c r="S289" s="616">
        <v>0</v>
      </c>
      <c r="T289" s="616">
        <v>0</v>
      </c>
      <c r="U289" s="616">
        <v>0</v>
      </c>
      <c r="V289" s="1025">
        <v>0</v>
      </c>
      <c r="W289" s="1025">
        <v>0</v>
      </c>
      <c r="X289" s="1025">
        <v>0</v>
      </c>
      <c r="Y289" s="1025">
        <v>0</v>
      </c>
      <c r="Z289" s="1025">
        <v>0</v>
      </c>
      <c r="AA289" s="693"/>
      <c r="AB289" s="701"/>
      <c r="AC289" s="693"/>
    </row>
    <row r="290" spans="1:29">
      <c r="A290" s="616"/>
      <c r="B290" s="721" t="s">
        <v>209</v>
      </c>
      <c r="C290" s="721"/>
      <c r="D290" s="618"/>
      <c r="E290" s="34"/>
      <c r="F290" s="616">
        <v>0</v>
      </c>
      <c r="G290" s="616">
        <v>0</v>
      </c>
      <c r="H290" s="616">
        <v>0</v>
      </c>
      <c r="I290" s="616">
        <v>0</v>
      </c>
      <c r="J290" s="616">
        <v>0</v>
      </c>
      <c r="K290" s="616">
        <v>0</v>
      </c>
      <c r="L290" s="616">
        <v>0</v>
      </c>
      <c r="M290" s="616">
        <v>0</v>
      </c>
      <c r="N290" s="616"/>
      <c r="O290" s="616"/>
      <c r="P290" s="694"/>
      <c r="Q290" s="694"/>
      <c r="R290" s="1113"/>
      <c r="S290" s="1113"/>
      <c r="T290" s="1113"/>
      <c r="U290" s="1113"/>
      <c r="V290" s="1113"/>
      <c r="W290" s="1113"/>
      <c r="X290" s="1113"/>
      <c r="Y290" s="1113"/>
      <c r="Z290" s="1113"/>
      <c r="AA290" s="693"/>
      <c r="AB290" s="701"/>
      <c r="AC290" s="693"/>
    </row>
    <row r="291" spans="1:29">
      <c r="A291" s="616"/>
      <c r="B291" s="34" t="s">
        <v>248</v>
      </c>
      <c r="C291" s="34"/>
      <c r="D291" s="185"/>
      <c r="E291" s="34"/>
      <c r="F291" s="616">
        <v>0</v>
      </c>
      <c r="G291" s="616">
        <v>0</v>
      </c>
      <c r="H291" s="616">
        <v>0</v>
      </c>
      <c r="I291" s="616">
        <v>0</v>
      </c>
      <c r="J291" s="616">
        <v>0</v>
      </c>
      <c r="K291" s="616">
        <v>0</v>
      </c>
      <c r="L291" s="616">
        <v>0</v>
      </c>
      <c r="M291" s="616">
        <v>0</v>
      </c>
      <c r="N291" s="616">
        <v>124669</v>
      </c>
      <c r="O291" s="616">
        <v>56448</v>
      </c>
      <c r="P291" s="616">
        <v>52054</v>
      </c>
      <c r="Q291" s="616">
        <v>84752</v>
      </c>
      <c r="R291" s="1025">
        <v>201002</v>
      </c>
      <c r="S291" s="1025">
        <v>178820</v>
      </c>
      <c r="T291" s="1025">
        <v>146000</v>
      </c>
      <c r="U291" s="1025">
        <v>161000</v>
      </c>
      <c r="V291" s="1025">
        <v>75000</v>
      </c>
      <c r="W291" s="1025">
        <v>104000</v>
      </c>
      <c r="X291" s="1025">
        <v>89000</v>
      </c>
      <c r="Y291" s="1025">
        <v>58000</v>
      </c>
      <c r="Z291" s="1025">
        <v>81000</v>
      </c>
      <c r="AA291" s="693">
        <v>91000</v>
      </c>
      <c r="AB291" s="693">
        <v>60000</v>
      </c>
      <c r="AC291" s="693"/>
    </row>
    <row r="292" spans="1:29">
      <c r="A292" s="616"/>
      <c r="B292" s="34" t="s">
        <v>249</v>
      </c>
      <c r="C292" s="34"/>
      <c r="D292" s="185"/>
      <c r="E292" s="34"/>
      <c r="F292" s="616">
        <v>0</v>
      </c>
      <c r="G292" s="616">
        <v>0</v>
      </c>
      <c r="H292" s="616">
        <v>0</v>
      </c>
      <c r="I292" s="616">
        <v>0</v>
      </c>
      <c r="J292" s="616">
        <v>0</v>
      </c>
      <c r="K292" s="616">
        <v>0</v>
      </c>
      <c r="L292" s="616">
        <v>0</v>
      </c>
      <c r="M292" s="616">
        <v>0</v>
      </c>
      <c r="N292" s="702">
        <v>0</v>
      </c>
      <c r="O292" s="702">
        <v>0</v>
      </c>
      <c r="P292" s="702">
        <v>0</v>
      </c>
      <c r="Q292" s="702">
        <v>0</v>
      </c>
      <c r="R292" s="702">
        <v>25489</v>
      </c>
      <c r="S292" s="702">
        <v>5526</v>
      </c>
      <c r="T292" s="702">
        <v>1000</v>
      </c>
      <c r="U292" s="702">
        <v>4000</v>
      </c>
      <c r="V292" s="702">
        <v>6000</v>
      </c>
      <c r="W292" s="702">
        <v>2000</v>
      </c>
      <c r="X292" s="702">
        <v>13000</v>
      </c>
      <c r="Y292" s="702">
        <v>3000</v>
      </c>
      <c r="Z292" s="702">
        <v>32000</v>
      </c>
      <c r="AA292" s="767">
        <v>36000</v>
      </c>
      <c r="AB292" s="767">
        <v>117000</v>
      </c>
      <c r="AC292" s="693"/>
    </row>
    <row r="293" spans="1:29">
      <c r="A293" s="616"/>
      <c r="B293" s="613" t="s">
        <v>209</v>
      </c>
      <c r="C293" s="34"/>
      <c r="D293" s="185"/>
      <c r="E293" s="34"/>
      <c r="F293" s="616">
        <v>0</v>
      </c>
      <c r="G293" s="616">
        <v>0</v>
      </c>
      <c r="H293" s="616">
        <v>0</v>
      </c>
      <c r="I293" s="616">
        <v>0</v>
      </c>
      <c r="J293" s="616">
        <v>0</v>
      </c>
      <c r="K293" s="616">
        <v>0</v>
      </c>
      <c r="L293" s="616">
        <v>0</v>
      </c>
      <c r="M293" s="616">
        <v>0</v>
      </c>
      <c r="N293" s="616">
        <v>124669</v>
      </c>
      <c r="O293" s="616">
        <v>56448</v>
      </c>
      <c r="P293" s="616">
        <v>52054</v>
      </c>
      <c r="Q293" s="616">
        <v>84752</v>
      </c>
      <c r="R293" s="1133">
        <v>226491</v>
      </c>
      <c r="S293" s="1133">
        <v>184346</v>
      </c>
      <c r="T293" s="1133">
        <v>147000</v>
      </c>
      <c r="U293" s="1133">
        <v>165000</v>
      </c>
      <c r="V293" s="1133">
        <v>81000</v>
      </c>
      <c r="W293" s="1133">
        <v>106000</v>
      </c>
      <c r="X293" s="1133">
        <v>102000</v>
      </c>
      <c r="Y293" s="1133">
        <v>61000</v>
      </c>
      <c r="Z293" s="1133">
        <v>113000</v>
      </c>
      <c r="AA293" s="986">
        <v>127000</v>
      </c>
      <c r="AB293" s="986">
        <v>177000</v>
      </c>
      <c r="AC293" s="693"/>
    </row>
    <row r="294" spans="1:29">
      <c r="A294" s="616"/>
      <c r="B294" s="34"/>
      <c r="C294" s="34"/>
      <c r="D294" s="1276" t="s">
        <v>93</v>
      </c>
      <c r="E294" s="34"/>
      <c r="F294" s="616">
        <v>0</v>
      </c>
      <c r="G294" s="616">
        <v>0</v>
      </c>
      <c r="H294" s="616">
        <v>0</v>
      </c>
      <c r="I294" s="616">
        <v>0</v>
      </c>
      <c r="J294" s="616">
        <v>0</v>
      </c>
      <c r="K294" s="616">
        <v>0</v>
      </c>
      <c r="L294" s="616">
        <v>0</v>
      </c>
      <c r="M294" s="616">
        <v>0</v>
      </c>
      <c r="N294" s="616">
        <v>0</v>
      </c>
      <c r="O294" s="616">
        <v>0</v>
      </c>
      <c r="P294" s="616">
        <v>0</v>
      </c>
      <c r="Q294" s="616">
        <v>0</v>
      </c>
      <c r="R294" s="616">
        <v>0</v>
      </c>
      <c r="S294" s="616">
        <v>0</v>
      </c>
      <c r="T294" s="616">
        <v>0</v>
      </c>
      <c r="U294" s="616">
        <v>0</v>
      </c>
      <c r="V294" s="616">
        <v>0</v>
      </c>
      <c r="W294" s="616">
        <v>0</v>
      </c>
      <c r="X294" s="616">
        <v>0</v>
      </c>
      <c r="Y294" s="616">
        <v>0</v>
      </c>
      <c r="Z294" s="616">
        <v>0</v>
      </c>
      <c r="AA294" s="616">
        <v>0</v>
      </c>
      <c r="AB294" s="616">
        <v>0</v>
      </c>
      <c r="AC294" s="693"/>
    </row>
    <row r="295" spans="1:29">
      <c r="A295" s="616"/>
      <c r="B295" s="1134" t="s">
        <v>1167</v>
      </c>
      <c r="C295" s="43"/>
      <c r="D295" s="618"/>
      <c r="E295" s="34"/>
      <c r="F295" s="616">
        <v>0</v>
      </c>
      <c r="G295" s="616">
        <v>0</v>
      </c>
      <c r="H295" s="616">
        <v>0</v>
      </c>
      <c r="I295" s="616">
        <v>0</v>
      </c>
      <c r="J295" s="616">
        <v>0</v>
      </c>
      <c r="K295" s="616">
        <v>0</v>
      </c>
      <c r="L295" s="616">
        <v>0</v>
      </c>
      <c r="M295" s="616">
        <v>0</v>
      </c>
      <c r="N295" s="616">
        <v>-83726</v>
      </c>
      <c r="O295" s="616">
        <v>82694</v>
      </c>
      <c r="P295" s="616">
        <v>74962</v>
      </c>
      <c r="Q295" s="616">
        <v>98143</v>
      </c>
      <c r="R295" s="1133">
        <v>-224465</v>
      </c>
      <c r="S295" s="1133">
        <v>-180493</v>
      </c>
      <c r="T295" s="1133">
        <v>-137000</v>
      </c>
      <c r="U295" s="1133">
        <v>-153000</v>
      </c>
      <c r="V295" s="1133">
        <v>3000</v>
      </c>
      <c r="W295" s="1133">
        <v>4000</v>
      </c>
      <c r="X295" s="1133">
        <v>-56000</v>
      </c>
      <c r="Y295" s="1133">
        <v>4000</v>
      </c>
      <c r="Z295" s="1133">
        <v>-20000</v>
      </c>
      <c r="AA295" s="986">
        <v>29000</v>
      </c>
      <c r="AB295" s="986">
        <v>-51000</v>
      </c>
      <c r="AC295" s="693"/>
    </row>
    <row r="296" spans="1:29">
      <c r="A296" s="616"/>
      <c r="B296" s="34"/>
      <c r="C296" s="34"/>
      <c r="D296" s="1276" t="s">
        <v>93</v>
      </c>
      <c r="E296" s="34"/>
      <c r="F296" s="616">
        <v>0</v>
      </c>
      <c r="G296" s="616">
        <v>0</v>
      </c>
      <c r="H296" s="616">
        <v>0</v>
      </c>
      <c r="I296" s="616">
        <v>0</v>
      </c>
      <c r="J296" s="616">
        <v>0</v>
      </c>
      <c r="K296" s="616">
        <v>0</v>
      </c>
      <c r="L296" s="616">
        <v>0</v>
      </c>
      <c r="M296" s="616">
        <v>0</v>
      </c>
      <c r="N296" s="616">
        <v>-3033</v>
      </c>
      <c r="O296" s="616">
        <v>-114454</v>
      </c>
      <c r="P296" s="616">
        <v>-87915</v>
      </c>
      <c r="Q296" s="616">
        <v>-106229</v>
      </c>
      <c r="R296" s="1025">
        <v>0</v>
      </c>
      <c r="S296" s="1025"/>
      <c r="T296" s="1025">
        <v>0</v>
      </c>
      <c r="U296" s="1025">
        <v>0</v>
      </c>
      <c r="V296" s="1025">
        <v>0</v>
      </c>
      <c r="W296" s="1025">
        <v>0</v>
      </c>
      <c r="X296" s="1025">
        <v>0</v>
      </c>
      <c r="Y296" s="1025">
        <v>0</v>
      </c>
      <c r="Z296" s="1025">
        <v>0</v>
      </c>
      <c r="AA296" s="693">
        <v>0</v>
      </c>
      <c r="AB296" s="693">
        <v>0</v>
      </c>
      <c r="AC296" s="693"/>
    </row>
    <row r="297" spans="1:29">
      <c r="A297" s="616"/>
      <c r="B297" s="1134" t="s">
        <v>1197</v>
      </c>
      <c r="C297" s="1123"/>
      <c r="D297" s="1135"/>
      <c r="E297" s="1111"/>
      <c r="F297" s="616"/>
      <c r="G297" s="616"/>
      <c r="H297" s="616"/>
      <c r="I297" s="616"/>
      <c r="J297" s="616"/>
      <c r="K297" s="616"/>
      <c r="L297" s="616"/>
      <c r="M297" s="616"/>
      <c r="N297" s="616"/>
      <c r="O297" s="616"/>
      <c r="P297" s="616"/>
      <c r="Q297" s="616"/>
      <c r="R297" s="1025"/>
      <c r="S297" s="1025"/>
      <c r="T297" s="1025"/>
      <c r="U297" s="1025"/>
      <c r="V297" s="1025"/>
      <c r="W297" s="1025"/>
      <c r="X297" s="1025"/>
      <c r="Y297" s="1025"/>
      <c r="Z297" s="1025"/>
      <c r="AA297" s="693"/>
      <c r="AB297" s="693"/>
      <c r="AC297" s="693"/>
    </row>
    <row r="298" spans="1:29">
      <c r="A298" s="616"/>
      <c r="B298" s="1120" t="s">
        <v>18</v>
      </c>
      <c r="C298" s="1111"/>
      <c r="D298" s="1136"/>
      <c r="E298" s="1111"/>
      <c r="F298" s="616">
        <v>0</v>
      </c>
      <c r="G298" s="616">
        <v>0</v>
      </c>
      <c r="H298" s="616">
        <v>0</v>
      </c>
      <c r="I298" s="616">
        <v>0</v>
      </c>
      <c r="J298" s="616">
        <v>0</v>
      </c>
      <c r="K298" s="616">
        <v>0</v>
      </c>
      <c r="L298" s="616">
        <v>0</v>
      </c>
      <c r="M298" s="616">
        <v>0</v>
      </c>
      <c r="N298" s="616"/>
      <c r="O298" s="616"/>
      <c r="P298" s="1113"/>
      <c r="Q298" s="1113"/>
      <c r="R298" s="1113"/>
      <c r="S298" s="1113"/>
      <c r="T298" s="1113"/>
      <c r="U298" s="1113"/>
      <c r="V298" s="1113"/>
      <c r="W298" s="1113"/>
      <c r="X298" s="1113"/>
      <c r="Y298" s="1113"/>
      <c r="Z298" s="1113"/>
      <c r="AA298" s="693"/>
      <c r="AB298" s="701"/>
      <c r="AC298" s="693"/>
    </row>
    <row r="299" spans="1:29">
      <c r="A299" s="616"/>
      <c r="B299" s="1111" t="s">
        <v>248</v>
      </c>
      <c r="C299" s="1111"/>
      <c r="D299" s="1136"/>
      <c r="E299" s="1111"/>
      <c r="F299" s="616">
        <v>0</v>
      </c>
      <c r="G299" s="616">
        <v>0</v>
      </c>
      <c r="H299" s="616">
        <v>0</v>
      </c>
      <c r="I299" s="616">
        <v>0</v>
      </c>
      <c r="J299" s="616">
        <v>0</v>
      </c>
      <c r="K299" s="616">
        <v>0</v>
      </c>
      <c r="L299" s="616">
        <v>0</v>
      </c>
      <c r="M299" s="616">
        <v>0</v>
      </c>
      <c r="N299" s="616">
        <v>26948</v>
      </c>
      <c r="O299" s="616">
        <v>38856</v>
      </c>
      <c r="P299" s="616">
        <v>110690</v>
      </c>
      <c r="Q299" s="616">
        <v>83639</v>
      </c>
      <c r="R299" s="616">
        <v>771</v>
      </c>
      <c r="S299" s="616">
        <v>861</v>
      </c>
      <c r="T299" s="616">
        <v>0</v>
      </c>
      <c r="U299" s="616">
        <v>4000</v>
      </c>
      <c r="V299" s="616">
        <v>75000</v>
      </c>
      <c r="W299" s="616">
        <v>91000</v>
      </c>
      <c r="X299" s="616">
        <v>43000</v>
      </c>
      <c r="Y299" s="616">
        <v>54000</v>
      </c>
      <c r="Z299" s="616">
        <v>86000</v>
      </c>
      <c r="AA299" s="693">
        <v>143000</v>
      </c>
      <c r="AB299" s="693">
        <v>72000</v>
      </c>
      <c r="AC299" s="693"/>
    </row>
    <row r="300" spans="1:29">
      <c r="A300" s="616"/>
      <c r="B300" s="1123" t="s">
        <v>249</v>
      </c>
      <c r="C300" s="1123"/>
      <c r="D300" s="1136"/>
      <c r="E300" s="1111"/>
      <c r="F300" s="616">
        <v>0</v>
      </c>
      <c r="G300" s="616">
        <v>0</v>
      </c>
      <c r="H300" s="616">
        <v>0</v>
      </c>
      <c r="I300" s="616">
        <v>0</v>
      </c>
      <c r="J300" s="616">
        <v>0</v>
      </c>
      <c r="K300" s="616">
        <v>0</v>
      </c>
      <c r="L300" s="616">
        <v>0</v>
      </c>
      <c r="M300" s="616">
        <v>0</v>
      </c>
      <c r="N300" s="702">
        <v>13995</v>
      </c>
      <c r="O300" s="702">
        <v>100286</v>
      </c>
      <c r="P300" s="702">
        <v>16326</v>
      </c>
      <c r="Q300" s="702">
        <v>99256</v>
      </c>
      <c r="R300" s="702">
        <v>1255</v>
      </c>
      <c r="S300" s="702">
        <v>2992</v>
      </c>
      <c r="T300" s="702">
        <v>10000</v>
      </c>
      <c r="U300" s="702">
        <v>8000</v>
      </c>
      <c r="V300" s="702">
        <v>9000</v>
      </c>
      <c r="W300" s="702">
        <v>19000</v>
      </c>
      <c r="X300" s="702">
        <v>3000</v>
      </c>
      <c r="Y300" s="702">
        <v>11000</v>
      </c>
      <c r="Z300" s="702">
        <v>7000</v>
      </c>
      <c r="AA300" s="767">
        <v>13000</v>
      </c>
      <c r="AB300" s="767">
        <v>54000</v>
      </c>
      <c r="AC300" s="693"/>
    </row>
    <row r="301" spans="1:29">
      <c r="A301" s="616"/>
      <c r="B301" s="1111" t="s">
        <v>205</v>
      </c>
      <c r="C301" s="1111"/>
      <c r="D301" s="1136"/>
      <c r="E301" s="1111"/>
      <c r="F301" s="616">
        <v>0</v>
      </c>
      <c r="G301" s="616">
        <v>0</v>
      </c>
      <c r="H301" s="616">
        <v>0</v>
      </c>
      <c r="I301" s="616">
        <v>0</v>
      </c>
      <c r="J301" s="616">
        <v>0</v>
      </c>
      <c r="K301" s="616">
        <v>0</v>
      </c>
      <c r="L301" s="616">
        <v>0</v>
      </c>
      <c r="M301" s="616">
        <v>60553</v>
      </c>
      <c r="N301" s="616">
        <v>40943</v>
      </c>
      <c r="O301" s="616">
        <v>139142</v>
      </c>
      <c r="P301" s="616">
        <v>127016</v>
      </c>
      <c r="Q301" s="616">
        <v>182895</v>
      </c>
      <c r="R301" s="707">
        <v>2026</v>
      </c>
      <c r="S301" s="707">
        <v>3853</v>
      </c>
      <c r="T301" s="707">
        <v>10000</v>
      </c>
      <c r="U301" s="707">
        <v>12000</v>
      </c>
      <c r="V301" s="707">
        <v>84000</v>
      </c>
      <c r="W301" s="707">
        <v>110000</v>
      </c>
      <c r="X301" s="707">
        <v>46000</v>
      </c>
      <c r="Y301" s="707">
        <v>65000</v>
      </c>
      <c r="Z301" s="707">
        <v>93000</v>
      </c>
      <c r="AA301" s="986">
        <v>156000</v>
      </c>
      <c r="AB301" s="986">
        <v>126000</v>
      </c>
      <c r="AC301" s="693"/>
    </row>
    <row r="302" spans="1:29">
      <c r="A302" s="616"/>
      <c r="B302" s="1111"/>
      <c r="C302" s="1111"/>
      <c r="D302" s="1136"/>
      <c r="E302" s="1111"/>
      <c r="F302" s="616"/>
      <c r="G302" s="616"/>
      <c r="H302" s="616"/>
      <c r="I302" s="616"/>
      <c r="J302" s="616"/>
      <c r="K302" s="616"/>
      <c r="L302" s="616"/>
      <c r="M302" s="616"/>
      <c r="N302" s="616"/>
      <c r="O302" s="616"/>
      <c r="P302" s="616"/>
      <c r="Q302" s="616"/>
      <c r="R302" s="707"/>
      <c r="S302" s="707"/>
      <c r="T302" s="707"/>
      <c r="U302" s="707"/>
      <c r="V302" s="707"/>
      <c r="W302" s="707"/>
      <c r="X302" s="707"/>
      <c r="Y302" s="707"/>
      <c r="Z302" s="707"/>
      <c r="AA302" s="986"/>
      <c r="AB302" s="986"/>
      <c r="AC302" s="693"/>
    </row>
    <row r="303" spans="1:29">
      <c r="A303" s="616"/>
      <c r="B303" s="1120" t="s">
        <v>206</v>
      </c>
      <c r="C303" s="1111"/>
      <c r="D303" s="1136"/>
      <c r="E303" s="1111"/>
      <c r="F303" s="616"/>
      <c r="G303" s="616"/>
      <c r="H303" s="616"/>
      <c r="I303" s="616"/>
      <c r="J303" s="616"/>
      <c r="K303" s="616"/>
      <c r="L303" s="616"/>
      <c r="M303" s="616"/>
      <c r="N303" s="616"/>
      <c r="O303" s="616"/>
      <c r="P303" s="616"/>
      <c r="Q303" s="616"/>
      <c r="R303" s="616"/>
      <c r="S303" s="616"/>
      <c r="T303" s="616"/>
      <c r="U303" s="616"/>
      <c r="V303" s="616"/>
      <c r="W303" s="616"/>
      <c r="X303" s="616"/>
      <c r="Y303" s="616"/>
      <c r="Z303" s="616"/>
      <c r="AA303" s="693"/>
      <c r="AB303" s="693"/>
      <c r="AC303" s="693"/>
    </row>
    <row r="304" spans="1:29">
      <c r="A304" s="616"/>
      <c r="B304" s="1111" t="s">
        <v>248</v>
      </c>
      <c r="C304" s="1111"/>
      <c r="D304" s="1136"/>
      <c r="E304" s="1111"/>
      <c r="F304" s="616">
        <v>0</v>
      </c>
      <c r="G304" s="616">
        <v>0</v>
      </c>
      <c r="H304" s="616">
        <v>0</v>
      </c>
      <c r="I304" s="616">
        <v>0</v>
      </c>
      <c r="J304" s="616">
        <v>0</v>
      </c>
      <c r="K304" s="616">
        <v>0</v>
      </c>
      <c r="L304" s="616">
        <v>0</v>
      </c>
      <c r="M304" s="616">
        <v>0</v>
      </c>
      <c r="N304" s="616">
        <v>124669</v>
      </c>
      <c r="O304" s="616">
        <v>56448</v>
      </c>
      <c r="P304" s="616">
        <v>52054</v>
      </c>
      <c r="Q304" s="616">
        <v>84752</v>
      </c>
      <c r="R304" s="616">
        <v>201002</v>
      </c>
      <c r="S304" s="616">
        <v>178820</v>
      </c>
      <c r="T304" s="616">
        <v>146000</v>
      </c>
      <c r="U304" s="616">
        <v>161000</v>
      </c>
      <c r="V304" s="616">
        <v>75000</v>
      </c>
      <c r="W304" s="616">
        <v>104000</v>
      </c>
      <c r="X304" s="616">
        <v>89000</v>
      </c>
      <c r="Y304" s="616">
        <v>58000</v>
      </c>
      <c r="Z304" s="616">
        <v>81000</v>
      </c>
      <c r="AA304" s="693">
        <v>91000</v>
      </c>
      <c r="AB304" s="693">
        <v>60000</v>
      </c>
      <c r="AC304" s="693"/>
    </row>
    <row r="305" spans="1:30">
      <c r="A305" s="616"/>
      <c r="B305" s="1123" t="s">
        <v>249</v>
      </c>
      <c r="C305" s="1123"/>
      <c r="D305" s="1136"/>
      <c r="E305" s="1111"/>
      <c r="F305" s="616">
        <v>0</v>
      </c>
      <c r="G305" s="616">
        <v>0</v>
      </c>
      <c r="H305" s="616">
        <v>0</v>
      </c>
      <c r="I305" s="616">
        <v>0</v>
      </c>
      <c r="J305" s="616">
        <v>0</v>
      </c>
      <c r="K305" s="616">
        <v>0</v>
      </c>
      <c r="L305" s="616">
        <v>0</v>
      </c>
      <c r="M305" s="616">
        <v>0</v>
      </c>
      <c r="N305" s="702">
        <v>0</v>
      </c>
      <c r="O305" s="702">
        <v>0</v>
      </c>
      <c r="P305" s="702">
        <v>0</v>
      </c>
      <c r="Q305" s="702">
        <v>0</v>
      </c>
      <c r="R305" s="702">
        <v>25489</v>
      </c>
      <c r="S305" s="702">
        <v>5526</v>
      </c>
      <c r="T305" s="702">
        <v>1000</v>
      </c>
      <c r="U305" s="702">
        <v>4000</v>
      </c>
      <c r="V305" s="702">
        <v>6000</v>
      </c>
      <c r="W305" s="702">
        <v>2000</v>
      </c>
      <c r="X305" s="702">
        <v>13000</v>
      </c>
      <c r="Y305" s="702">
        <v>3000</v>
      </c>
      <c r="Z305" s="702">
        <v>32000</v>
      </c>
      <c r="AA305" s="767">
        <v>36000</v>
      </c>
      <c r="AB305" s="767">
        <v>117000</v>
      </c>
      <c r="AC305" s="693"/>
    </row>
    <row r="306" spans="1:30">
      <c r="A306" s="616"/>
      <c r="B306" s="1111" t="s">
        <v>209</v>
      </c>
      <c r="C306" s="1111"/>
      <c r="D306" s="1136"/>
      <c r="E306" s="1111"/>
      <c r="F306" s="616">
        <v>0</v>
      </c>
      <c r="G306" s="616">
        <v>0</v>
      </c>
      <c r="H306" s="616">
        <v>0</v>
      </c>
      <c r="I306" s="616">
        <v>0</v>
      </c>
      <c r="J306" s="616">
        <v>0</v>
      </c>
      <c r="K306" s="616">
        <v>0</v>
      </c>
      <c r="L306" s="616">
        <v>0</v>
      </c>
      <c r="M306" s="616">
        <v>21004</v>
      </c>
      <c r="N306" s="616">
        <v>124669</v>
      </c>
      <c r="O306" s="616">
        <v>56448</v>
      </c>
      <c r="P306" s="616">
        <v>52054</v>
      </c>
      <c r="Q306" s="616">
        <v>84752</v>
      </c>
      <c r="R306" s="707">
        <v>226491</v>
      </c>
      <c r="S306" s="707">
        <v>184346</v>
      </c>
      <c r="T306" s="707">
        <v>147000</v>
      </c>
      <c r="U306" s="707">
        <v>165000</v>
      </c>
      <c r="V306" s="707">
        <v>81000</v>
      </c>
      <c r="W306" s="707">
        <v>106000</v>
      </c>
      <c r="X306" s="707">
        <v>102000</v>
      </c>
      <c r="Y306" s="707">
        <v>61000</v>
      </c>
      <c r="Z306" s="707">
        <v>113000</v>
      </c>
      <c r="AA306" s="986">
        <v>127000</v>
      </c>
      <c r="AB306" s="986">
        <v>177000</v>
      </c>
      <c r="AC306" s="693"/>
    </row>
    <row r="307" spans="1:30">
      <c r="A307" s="616"/>
      <c r="B307" s="1111"/>
      <c r="C307" s="1111"/>
      <c r="D307" s="1136"/>
      <c r="E307" s="1111"/>
      <c r="F307" s="616"/>
      <c r="G307" s="616"/>
      <c r="H307" s="616"/>
      <c r="I307" s="616"/>
      <c r="J307" s="616"/>
      <c r="K307" s="616"/>
      <c r="L307" s="616"/>
      <c r="M307" s="616"/>
      <c r="N307" s="616"/>
      <c r="O307" s="616"/>
      <c r="P307" s="616"/>
      <c r="Q307" s="616"/>
      <c r="R307" s="616"/>
      <c r="S307" s="707"/>
      <c r="T307" s="707"/>
      <c r="U307" s="707"/>
      <c r="V307" s="707"/>
      <c r="W307" s="707"/>
      <c r="X307" s="707"/>
      <c r="Y307" s="707"/>
      <c r="Z307" s="707"/>
      <c r="AA307" s="986"/>
      <c r="AB307" s="986"/>
      <c r="AC307" s="693"/>
    </row>
    <row r="308" spans="1:30">
      <c r="A308" s="616"/>
      <c r="B308" s="1120" t="s">
        <v>250</v>
      </c>
      <c r="C308" s="1111"/>
      <c r="D308" s="1136"/>
      <c r="E308" s="1111"/>
      <c r="F308" s="616">
        <v>0</v>
      </c>
      <c r="G308" s="616">
        <v>0</v>
      </c>
      <c r="H308" s="616">
        <v>0</v>
      </c>
      <c r="I308" s="616">
        <v>0</v>
      </c>
      <c r="J308" s="616">
        <v>0</v>
      </c>
      <c r="K308" s="616">
        <v>0</v>
      </c>
      <c r="L308" s="616">
        <v>0</v>
      </c>
      <c r="M308" s="616">
        <v>39549</v>
      </c>
      <c r="N308" s="616">
        <v>-83726</v>
      </c>
      <c r="O308" s="616">
        <v>82694</v>
      </c>
      <c r="P308" s="616">
        <v>74962</v>
      </c>
      <c r="Q308" s="616">
        <v>98143</v>
      </c>
      <c r="R308" s="707">
        <v>-224465</v>
      </c>
      <c r="S308" s="707">
        <v>-180483</v>
      </c>
      <c r="T308" s="707">
        <v>-137000</v>
      </c>
      <c r="U308" s="707">
        <v>-153000</v>
      </c>
      <c r="V308" s="707">
        <v>3000</v>
      </c>
      <c r="W308" s="707">
        <v>4000</v>
      </c>
      <c r="X308" s="707">
        <v>-56000</v>
      </c>
      <c r="Y308" s="707">
        <v>4000</v>
      </c>
      <c r="Z308" s="707">
        <v>-20000</v>
      </c>
      <c r="AA308" s="986">
        <v>29000</v>
      </c>
      <c r="AB308" s="986">
        <v>-51000</v>
      </c>
      <c r="AC308" s="693"/>
    </row>
    <row r="309" spans="1:30">
      <c r="A309" s="616"/>
      <c r="B309" s="1120"/>
      <c r="C309" s="1111"/>
      <c r="D309" s="1136"/>
      <c r="E309" s="1111"/>
      <c r="F309" s="616"/>
      <c r="G309" s="616"/>
      <c r="H309" s="616"/>
      <c r="I309" s="616"/>
      <c r="J309" s="616"/>
      <c r="K309" s="616"/>
      <c r="L309" s="616"/>
      <c r="M309" s="616"/>
      <c r="N309" s="616"/>
      <c r="O309" s="616"/>
      <c r="P309" s="616"/>
      <c r="Q309" s="616"/>
      <c r="R309" s="707"/>
      <c r="S309" s="707"/>
      <c r="T309" s="707"/>
      <c r="U309" s="707"/>
      <c r="V309" s="707"/>
      <c r="W309" s="707"/>
      <c r="X309" s="707"/>
      <c r="Y309" s="707"/>
      <c r="Z309" s="707"/>
      <c r="AA309" s="986"/>
      <c r="AB309" s="986"/>
      <c r="AC309" s="693"/>
    </row>
    <row r="310" spans="1:30" ht="18">
      <c r="A310" s="616"/>
      <c r="B310" s="34"/>
      <c r="C310" s="34"/>
      <c r="D310" s="185"/>
      <c r="E310" s="34"/>
      <c r="F310" s="616"/>
      <c r="G310" s="616"/>
      <c r="H310" s="616"/>
      <c r="I310" s="616"/>
      <c r="J310" s="616"/>
      <c r="K310" s="616"/>
      <c r="L310" s="616"/>
      <c r="M310" s="616"/>
      <c r="N310" s="616"/>
      <c r="O310" s="616"/>
      <c r="P310" s="616"/>
      <c r="Q310" s="616"/>
      <c r="R310" s="693"/>
      <c r="S310" s="693"/>
      <c r="T310" s="693"/>
      <c r="U310" s="693"/>
      <c r="V310" s="693"/>
      <c r="W310" s="1567" t="s">
        <v>7</v>
      </c>
      <c r="X310" s="1568"/>
      <c r="Y310" s="1568"/>
      <c r="Z310" s="1568"/>
      <c r="AA310" s="1569"/>
      <c r="AB310" s="1084" t="s">
        <v>1464</v>
      </c>
      <c r="AC310" s="693"/>
    </row>
    <row r="311" spans="1:30">
      <c r="A311" s="616"/>
      <c r="B311" s="34"/>
      <c r="C311" s="34"/>
      <c r="D311" s="185"/>
      <c r="E311" s="34"/>
      <c r="F311" s="616"/>
      <c r="G311" s="616"/>
      <c r="H311" s="616"/>
      <c r="I311" s="616"/>
      <c r="J311" s="616"/>
      <c r="K311" s="616"/>
      <c r="L311" s="616"/>
      <c r="M311" s="616"/>
      <c r="N311" s="616"/>
      <c r="O311" s="616"/>
      <c r="P311" s="616"/>
      <c r="Q311" s="616"/>
      <c r="R311" s="43">
        <v>0</v>
      </c>
      <c r="S311" s="43">
        <v>1</v>
      </c>
      <c r="T311" s="43">
        <v>2</v>
      </c>
      <c r="U311" s="43">
        <v>3</v>
      </c>
      <c r="V311" s="43">
        <v>4</v>
      </c>
      <c r="W311" s="43">
        <v>5</v>
      </c>
      <c r="X311" s="43">
        <v>6</v>
      </c>
      <c r="Y311" s="43">
        <v>7</v>
      </c>
      <c r="Z311" s="43">
        <v>8</v>
      </c>
      <c r="AA311" s="43">
        <v>9</v>
      </c>
      <c r="AB311" s="43">
        <v>10</v>
      </c>
      <c r="AC311" s="693"/>
    </row>
    <row r="312" spans="1:30">
      <c r="E312" s="1276" t="s">
        <v>44</v>
      </c>
      <c r="F312" s="740">
        <v>1999</v>
      </c>
      <c r="G312" s="740">
        <v>2000</v>
      </c>
      <c r="H312" s="740">
        <v>2001</v>
      </c>
      <c r="I312" s="740">
        <v>2002</v>
      </c>
      <c r="J312" s="740">
        <v>2003</v>
      </c>
      <c r="K312" s="740">
        <v>2004</v>
      </c>
      <c r="L312" s="740">
        <v>2005</v>
      </c>
      <c r="M312" s="740">
        <v>2006</v>
      </c>
      <c r="N312" s="740">
        <v>2007</v>
      </c>
      <c r="O312" s="740">
        <v>2008</v>
      </c>
      <c r="P312" s="740">
        <v>2009</v>
      </c>
      <c r="Q312" s="740">
        <v>2010</v>
      </c>
      <c r="R312" s="980">
        <v>2011</v>
      </c>
      <c r="S312" s="980">
        <v>2012</v>
      </c>
      <c r="T312" s="980">
        <v>2013</v>
      </c>
      <c r="U312" s="980">
        <v>2014</v>
      </c>
      <c r="V312" s="980">
        <v>2015</v>
      </c>
      <c r="W312" s="980">
        <v>2016</v>
      </c>
      <c r="X312" s="980">
        <v>2017</v>
      </c>
      <c r="Y312" s="980">
        <v>2018</v>
      </c>
      <c r="Z312" s="980">
        <v>2019</v>
      </c>
      <c r="AA312" s="980">
        <v>2020</v>
      </c>
      <c r="AB312" s="980">
        <v>2021</v>
      </c>
      <c r="AC312" s="693"/>
    </row>
    <row r="313" spans="1:30">
      <c r="A313" s="977" t="s">
        <v>251</v>
      </c>
      <c r="B313" s="1001"/>
      <c r="C313" s="1001"/>
      <c r="D313" s="1001"/>
      <c r="E313" s="1120"/>
      <c r="F313" s="616">
        <v>0</v>
      </c>
      <c r="G313" s="616">
        <v>0</v>
      </c>
      <c r="H313" s="616">
        <v>0</v>
      </c>
      <c r="I313" s="616">
        <v>0</v>
      </c>
      <c r="J313" s="616">
        <v>0</v>
      </c>
      <c r="K313" s="616">
        <v>0</v>
      </c>
      <c r="L313" s="616">
        <v>0</v>
      </c>
      <c r="M313" s="616">
        <v>0</v>
      </c>
      <c r="N313" s="616">
        <v>0</v>
      </c>
      <c r="O313" s="616">
        <v>0</v>
      </c>
      <c r="P313" s="616">
        <v>0</v>
      </c>
      <c r="Q313" s="616">
        <v>0</v>
      </c>
      <c r="R313" s="616">
        <v>0</v>
      </c>
      <c r="S313" s="616">
        <v>0</v>
      </c>
      <c r="T313" s="616">
        <v>0</v>
      </c>
      <c r="U313" s="616">
        <v>0</v>
      </c>
      <c r="V313" s="616">
        <v>0</v>
      </c>
      <c r="W313" s="616">
        <v>0</v>
      </c>
      <c r="X313" s="616">
        <v>0</v>
      </c>
      <c r="Y313" s="616">
        <v>0</v>
      </c>
      <c r="Z313" s="616">
        <v>0</v>
      </c>
      <c r="AA313" s="693">
        <v>0</v>
      </c>
      <c r="AB313" s="693">
        <v>0</v>
      </c>
      <c r="AC313" s="693"/>
    </row>
    <row r="314" spans="1:30">
      <c r="A314" s="1161"/>
      <c r="B314" s="1161"/>
      <c r="C314" s="1161"/>
      <c r="D314" s="1161"/>
      <c r="E314" s="613"/>
      <c r="F314" s="616"/>
      <c r="G314" s="616"/>
      <c r="H314" s="616"/>
      <c r="I314" s="616"/>
      <c r="J314" s="616"/>
      <c r="K314" s="616"/>
      <c r="L314" s="616"/>
      <c r="M314" s="616"/>
      <c r="N314" s="616"/>
      <c r="O314" s="616"/>
      <c r="P314" s="616"/>
      <c r="Q314" s="616"/>
      <c r="R314" s="616"/>
      <c r="S314" s="616"/>
      <c r="T314" s="616"/>
      <c r="U314" s="616"/>
      <c r="V314" s="616"/>
      <c r="W314" s="616"/>
      <c r="X314" s="631"/>
      <c r="Y314" s="631"/>
      <c r="Z314" s="616"/>
      <c r="AA314" s="693"/>
      <c r="AB314" s="693"/>
      <c r="AC314" s="693"/>
    </row>
    <row r="315" spans="1:30">
      <c r="B315" s="1134" t="s">
        <v>1229</v>
      </c>
      <c r="C315" s="1134"/>
      <c r="D315" s="1134"/>
      <c r="E315" s="613"/>
      <c r="F315" s="616"/>
      <c r="G315" s="616"/>
      <c r="H315" s="616"/>
      <c r="I315" s="616"/>
      <c r="J315" s="616"/>
      <c r="K315" s="616"/>
      <c r="L315" s="616"/>
      <c r="M315" s="616"/>
      <c r="N315" s="616"/>
      <c r="O315" s="616"/>
      <c r="P315" s="616"/>
      <c r="Q315" s="616"/>
      <c r="R315" s="707">
        <v>-6000</v>
      </c>
      <c r="S315" s="707">
        <v>-11507</v>
      </c>
      <c r="T315" s="707">
        <v>11000</v>
      </c>
      <c r="U315" s="707">
        <v>7000</v>
      </c>
      <c r="V315" s="707">
        <v>-37000</v>
      </c>
      <c r="W315" s="707">
        <v>-21000</v>
      </c>
      <c r="X315" s="707">
        <v>23000</v>
      </c>
      <c r="Y315" s="707">
        <v>3000</v>
      </c>
      <c r="Z315" s="707">
        <v>2000</v>
      </c>
      <c r="AA315" s="986">
        <v>0</v>
      </c>
      <c r="AB315" s="986">
        <v>7000</v>
      </c>
      <c r="AC315" s="693"/>
      <c r="AD315" t="s">
        <v>1230</v>
      </c>
    </row>
    <row r="316" spans="1:30">
      <c r="C316" s="1163"/>
      <c r="D316" s="1344" t="s">
        <v>1208</v>
      </c>
      <c r="E316" s="613"/>
      <c r="F316" s="616"/>
      <c r="G316" s="616"/>
      <c r="H316" s="616"/>
      <c r="I316" s="616"/>
      <c r="J316" s="616"/>
      <c r="K316" s="616"/>
      <c r="L316" s="616"/>
      <c r="M316" s="616"/>
      <c r="N316" s="616"/>
      <c r="O316" s="616"/>
      <c r="P316" s="616"/>
      <c r="Q316" s="616"/>
      <c r="R316" s="1166">
        <v>0</v>
      </c>
      <c r="S316" s="1334">
        <v>92</v>
      </c>
      <c r="T316" s="1343">
        <v>0</v>
      </c>
      <c r="U316" s="1166">
        <v>0</v>
      </c>
      <c r="V316" s="1166">
        <v>0</v>
      </c>
      <c r="W316" s="1166">
        <v>0</v>
      </c>
      <c r="X316" s="1166">
        <v>0</v>
      </c>
      <c r="Y316" s="1166">
        <v>0</v>
      </c>
      <c r="Z316" s="1166">
        <v>0</v>
      </c>
      <c r="AA316" s="1166">
        <v>0</v>
      </c>
      <c r="AB316" s="1166">
        <v>0</v>
      </c>
      <c r="AC316" s="693"/>
    </row>
    <row r="317" spans="1:30">
      <c r="B317" s="1164" t="s">
        <v>1228</v>
      </c>
      <c r="C317" s="1163"/>
      <c r="D317" s="1163"/>
      <c r="E317" s="613"/>
      <c r="F317" s="616"/>
      <c r="G317" s="616"/>
      <c r="H317" s="616"/>
      <c r="I317" s="616"/>
      <c r="J317" s="616"/>
      <c r="K317" s="616"/>
      <c r="L317" s="616"/>
      <c r="M317" s="616"/>
      <c r="N317" s="616"/>
      <c r="O317" s="616"/>
      <c r="P317" s="616"/>
      <c r="Q317" s="616"/>
      <c r="R317" s="693"/>
      <c r="S317" s="693"/>
      <c r="T317" s="693"/>
      <c r="U317" s="693"/>
      <c r="V317" s="693"/>
      <c r="W317" s="693"/>
      <c r="X317" s="693"/>
      <c r="Y317" s="693"/>
      <c r="Z317" s="693"/>
      <c r="AA317" s="693"/>
      <c r="AB317" s="693"/>
      <c r="AC317" s="693"/>
    </row>
    <row r="318" spans="1:30">
      <c r="A318" s="1386" t="s">
        <v>252</v>
      </c>
      <c r="B318" s="1385"/>
      <c r="C318" s="34"/>
      <c r="D318" s="185"/>
      <c r="E318" s="34"/>
      <c r="F318" s="616">
        <v>0</v>
      </c>
      <c r="G318" s="616">
        <v>0</v>
      </c>
      <c r="H318" s="616">
        <v>0</v>
      </c>
      <c r="I318" s="616">
        <v>0</v>
      </c>
      <c r="J318" s="616">
        <v>0</v>
      </c>
      <c r="K318" s="616">
        <v>0</v>
      </c>
      <c r="L318" s="616">
        <v>0</v>
      </c>
      <c r="M318" s="616">
        <v>0</v>
      </c>
      <c r="N318" s="616">
        <v>23888</v>
      </c>
      <c r="O318" s="616">
        <v>-14332</v>
      </c>
      <c r="P318" s="693">
        <v>-32489</v>
      </c>
      <c r="Q318" s="693">
        <v>-23296</v>
      </c>
      <c r="R318" s="693">
        <v>-4862</v>
      </c>
      <c r="S318" s="693">
        <v>-10532</v>
      </c>
      <c r="T318" s="693">
        <v>12000</v>
      </c>
      <c r="U318" s="693">
        <v>7000</v>
      </c>
      <c r="V318" s="693">
        <v>-39000</v>
      </c>
      <c r="W318" s="693">
        <v>-20000</v>
      </c>
      <c r="X318" s="693">
        <v>27000</v>
      </c>
      <c r="Y318" s="1113">
        <v>-1000</v>
      </c>
      <c r="Z318" s="1113">
        <v>0</v>
      </c>
      <c r="AA318" s="693">
        <v>2000</v>
      </c>
      <c r="AB318" s="693">
        <v>8000</v>
      </c>
      <c r="AC318" s="693" t="s">
        <v>1443</v>
      </c>
      <c r="AD318" t="s">
        <v>954</v>
      </c>
    </row>
    <row r="319" spans="1:30">
      <c r="A319" s="1386" t="s">
        <v>253</v>
      </c>
      <c r="B319" s="1385"/>
      <c r="C319" s="34"/>
      <c r="D319" s="185"/>
      <c r="E319" s="34"/>
      <c r="F319" s="616">
        <v>0</v>
      </c>
      <c r="G319" s="616">
        <v>0</v>
      </c>
      <c r="H319" s="616">
        <v>0</v>
      </c>
      <c r="I319" s="616">
        <v>0</v>
      </c>
      <c r="J319" s="616">
        <v>0</v>
      </c>
      <c r="K319" s="616">
        <v>0</v>
      </c>
      <c r="L319" s="616">
        <v>0</v>
      </c>
      <c r="M319" s="616">
        <v>0</v>
      </c>
      <c r="N319" s="702">
        <v>658</v>
      </c>
      <c r="O319" s="702">
        <v>45497</v>
      </c>
      <c r="P319" s="767">
        <v>-114109</v>
      </c>
      <c r="Q319" s="767">
        <v>-14872</v>
      </c>
      <c r="R319" s="767">
        <v>-1138</v>
      </c>
      <c r="S319" s="767">
        <v>-1067</v>
      </c>
      <c r="T319" s="767">
        <v>-1000</v>
      </c>
      <c r="U319" s="767">
        <v>0</v>
      </c>
      <c r="V319" s="767">
        <v>2000</v>
      </c>
      <c r="W319" s="767">
        <v>-1000</v>
      </c>
      <c r="X319" s="767">
        <v>-4000</v>
      </c>
      <c r="Y319" s="1124">
        <v>4000</v>
      </c>
      <c r="Z319" s="1124">
        <v>2000</v>
      </c>
      <c r="AA319" s="767">
        <v>-2000</v>
      </c>
      <c r="AB319" s="767">
        <v>-1000</v>
      </c>
      <c r="AC319" s="693" t="s">
        <v>1442</v>
      </c>
    </row>
    <row r="320" spans="1:30">
      <c r="A320" s="613"/>
      <c r="C320" s="34"/>
      <c r="D320" s="185"/>
      <c r="E320" s="34"/>
      <c r="F320" s="616"/>
      <c r="G320" s="616"/>
      <c r="H320" s="616"/>
      <c r="I320" s="616"/>
      <c r="J320" s="616"/>
      <c r="K320" s="616"/>
      <c r="L320" s="616"/>
      <c r="M320" s="616"/>
      <c r="N320" s="616"/>
      <c r="O320" s="616"/>
      <c r="P320" s="693"/>
      <c r="Q320" s="693"/>
      <c r="R320" s="693">
        <v>-6000</v>
      </c>
      <c r="S320" s="693">
        <v>-11599</v>
      </c>
      <c r="T320" s="693">
        <v>11000</v>
      </c>
      <c r="U320" s="693">
        <v>7000</v>
      </c>
      <c r="V320" s="693">
        <v>-37000</v>
      </c>
      <c r="W320" s="693">
        <v>-21000</v>
      </c>
      <c r="X320" s="693">
        <v>23000</v>
      </c>
      <c r="Y320" s="693">
        <v>3000</v>
      </c>
      <c r="Z320" s="693">
        <v>2000</v>
      </c>
      <c r="AA320" s="693">
        <v>0</v>
      </c>
      <c r="AB320" s="693">
        <v>7000</v>
      </c>
      <c r="AC320" s="693"/>
    </row>
    <row r="321" spans="1:29">
      <c r="A321" s="613"/>
      <c r="C321" s="34"/>
      <c r="D321" s="185"/>
      <c r="E321" s="34"/>
      <c r="F321" s="616"/>
      <c r="G321" s="616"/>
      <c r="H321" s="616"/>
      <c r="I321" s="616"/>
      <c r="J321" s="616"/>
      <c r="K321" s="616"/>
      <c r="L321" s="616"/>
      <c r="M321" s="616"/>
      <c r="N321" s="616"/>
      <c r="O321" s="616"/>
      <c r="P321" s="693"/>
      <c r="Q321" s="693"/>
      <c r="R321" s="693"/>
      <c r="S321" s="693"/>
      <c r="T321" s="693"/>
      <c r="U321" s="693"/>
      <c r="V321" s="693"/>
      <c r="W321" s="693"/>
      <c r="X321" s="693"/>
      <c r="Y321" s="693"/>
      <c r="Z321" s="693"/>
      <c r="AA321" s="693"/>
      <c r="AB321" s="693"/>
      <c r="AC321" s="693"/>
    </row>
    <row r="322" spans="1:29">
      <c r="A322" s="810" t="s">
        <v>1219</v>
      </c>
      <c r="C322" s="34"/>
      <c r="D322" s="185"/>
      <c r="E322" s="34"/>
      <c r="F322" s="616">
        <v>0</v>
      </c>
      <c r="G322" s="616">
        <v>0</v>
      </c>
      <c r="H322" s="616">
        <v>0</v>
      </c>
      <c r="I322" s="616">
        <v>0</v>
      </c>
      <c r="J322" s="616">
        <v>0</v>
      </c>
      <c r="K322" s="616">
        <v>0</v>
      </c>
      <c r="L322" s="616">
        <v>0</v>
      </c>
      <c r="M322" s="616">
        <v>0</v>
      </c>
      <c r="N322" s="771">
        <v>24546</v>
      </c>
      <c r="O322" s="771">
        <v>31165</v>
      </c>
      <c r="P322" s="771">
        <v>-146598</v>
      </c>
      <c r="Q322" s="771">
        <v>-38168</v>
      </c>
      <c r="R322" s="1162">
        <v>-5940</v>
      </c>
      <c r="S322" s="1162">
        <v>-11507</v>
      </c>
      <c r="T322" s="1162">
        <v>11000</v>
      </c>
      <c r="U322" s="1162">
        <v>7000</v>
      </c>
      <c r="V322" s="1162">
        <v>-37000</v>
      </c>
      <c r="W322" s="1162">
        <v>-21000</v>
      </c>
      <c r="X322" s="1162">
        <v>23000</v>
      </c>
      <c r="Y322" s="1162">
        <v>3000</v>
      </c>
      <c r="Z322" s="1162">
        <v>2000</v>
      </c>
      <c r="AA322" s="1162">
        <v>0</v>
      </c>
      <c r="AB322" s="1162">
        <v>7000</v>
      </c>
      <c r="AC322" s="693"/>
    </row>
    <row r="323" spans="1:29">
      <c r="A323" s="613"/>
      <c r="B323" s="613" t="s">
        <v>1244</v>
      </c>
      <c r="C323" s="34"/>
      <c r="D323" s="185"/>
      <c r="E323" s="34"/>
      <c r="F323" s="616"/>
      <c r="G323" s="616"/>
      <c r="H323" s="616"/>
      <c r="I323" s="616"/>
      <c r="J323" s="616"/>
      <c r="K323" s="616"/>
      <c r="L323" s="616"/>
      <c r="M323" s="616"/>
      <c r="N323" s="771"/>
      <c r="O323" s="771"/>
      <c r="P323" s="771"/>
      <c r="Q323" s="771"/>
      <c r="R323" s="1112"/>
      <c r="S323" s="1112"/>
      <c r="T323" s="1112"/>
      <c r="U323" s="1112"/>
      <c r="V323" s="1112"/>
      <c r="W323" s="1112"/>
      <c r="X323" s="1112"/>
      <c r="Y323" s="1112"/>
      <c r="Z323" s="1112"/>
      <c r="AA323" s="1112"/>
      <c r="AB323" s="1112"/>
      <c r="AC323" s="693"/>
    </row>
    <row r="324" spans="1:29">
      <c r="A324" s="613"/>
      <c r="C324" s="34"/>
      <c r="D324" s="185" t="s">
        <v>1208</v>
      </c>
      <c r="E324" s="34"/>
      <c r="F324" s="616"/>
      <c r="G324" s="616"/>
      <c r="H324" s="616"/>
      <c r="I324" s="616"/>
      <c r="J324" s="616"/>
      <c r="K324" s="616"/>
      <c r="L324" s="616"/>
      <c r="M324" s="616"/>
      <c r="N324" s="771"/>
      <c r="O324" s="771"/>
      <c r="P324" s="771"/>
      <c r="Q324" s="771"/>
      <c r="R324" s="1395">
        <v>-60</v>
      </c>
      <c r="S324" s="1124">
        <v>0</v>
      </c>
      <c r="T324" s="1124">
        <v>0</v>
      </c>
      <c r="U324" s="1124">
        <v>0</v>
      </c>
      <c r="V324" s="1124">
        <v>0</v>
      </c>
      <c r="W324" s="1124">
        <v>0</v>
      </c>
      <c r="X324" s="1124">
        <v>0</v>
      </c>
      <c r="Y324" s="1124">
        <v>0</v>
      </c>
      <c r="Z324" s="1124">
        <v>0</v>
      </c>
      <c r="AA324" s="1124">
        <v>0</v>
      </c>
      <c r="AB324" s="1124">
        <v>0</v>
      </c>
      <c r="AC324" s="693"/>
    </row>
    <row r="325" spans="1:29">
      <c r="A325" s="613"/>
      <c r="C325" s="34"/>
      <c r="D325" s="1276"/>
      <c r="E325" s="34"/>
      <c r="F325" s="616"/>
      <c r="G325" s="616"/>
      <c r="H325" s="616"/>
      <c r="I325" s="616"/>
      <c r="J325" s="616"/>
      <c r="K325" s="616"/>
      <c r="L325" s="616"/>
      <c r="M325" s="616"/>
      <c r="N325" s="616"/>
      <c r="O325" s="616"/>
      <c r="P325" s="693"/>
      <c r="Q325" s="693"/>
      <c r="R325" s="693">
        <v>-6000</v>
      </c>
      <c r="S325" s="693">
        <v>-11507</v>
      </c>
      <c r="T325" s="693">
        <v>11000</v>
      </c>
      <c r="U325" s="693">
        <v>7000</v>
      </c>
      <c r="V325" s="693">
        <v>-37000</v>
      </c>
      <c r="W325" s="693">
        <v>-21000</v>
      </c>
      <c r="X325" s="693">
        <v>23000</v>
      </c>
      <c r="Y325" s="693">
        <v>3000</v>
      </c>
      <c r="Z325" s="693">
        <v>2000</v>
      </c>
      <c r="AA325" s="693">
        <v>0</v>
      </c>
      <c r="AB325" s="693">
        <v>7000</v>
      </c>
      <c r="AC325" s="693"/>
    </row>
    <row r="326" spans="1:29">
      <c r="A326" s="613"/>
      <c r="C326" s="34"/>
      <c r="D326" s="1276"/>
      <c r="E326" s="34"/>
      <c r="F326" s="616"/>
      <c r="G326" s="616"/>
      <c r="H326" s="616"/>
      <c r="I326" s="616"/>
      <c r="J326" s="616"/>
      <c r="K326" s="616"/>
      <c r="L326" s="616"/>
      <c r="M326" s="616"/>
      <c r="N326" s="616"/>
      <c r="O326" s="616"/>
      <c r="P326" s="693"/>
      <c r="Q326" s="693"/>
      <c r="R326" s="693"/>
      <c r="S326" s="693"/>
      <c r="T326" s="693"/>
      <c r="U326" s="693"/>
      <c r="V326" s="693"/>
      <c r="W326" s="693"/>
      <c r="X326" s="693"/>
      <c r="Y326" s="693"/>
      <c r="Z326" s="693"/>
      <c r="AA326" s="693"/>
      <c r="AB326" s="693"/>
      <c r="AC326" s="693"/>
    </row>
    <row r="327" spans="1:29">
      <c r="A327" s="977" t="s">
        <v>1168</v>
      </c>
      <c r="B327" s="1001"/>
      <c r="C327" s="1001"/>
      <c r="D327" s="1001"/>
      <c r="E327" s="1111"/>
      <c r="F327" s="616"/>
      <c r="G327" s="616"/>
      <c r="H327" s="616"/>
      <c r="I327" s="616"/>
      <c r="J327" s="616"/>
      <c r="K327" s="616"/>
      <c r="L327" s="616"/>
      <c r="M327" s="616"/>
      <c r="N327" s="1112"/>
      <c r="O327" s="1112"/>
      <c r="P327" s="1112"/>
      <c r="Q327" s="1112"/>
      <c r="R327" s="616"/>
      <c r="S327" s="616"/>
      <c r="T327" s="616"/>
      <c r="U327" s="616"/>
      <c r="V327" s="616"/>
      <c r="W327" s="616"/>
      <c r="X327" s="616"/>
      <c r="Y327" s="616"/>
      <c r="Z327" s="616"/>
      <c r="AA327" s="616"/>
      <c r="AB327" s="616"/>
      <c r="AC327" s="693"/>
    </row>
    <row r="328" spans="1:29">
      <c r="A328" s="1161"/>
      <c r="B328" s="1158"/>
      <c r="C328" s="1126"/>
      <c r="D328" s="1208"/>
      <c r="E328" s="1111"/>
      <c r="F328" s="616"/>
      <c r="G328" s="616"/>
      <c r="H328" s="616"/>
      <c r="I328" s="616"/>
      <c r="J328" s="616"/>
      <c r="K328" s="616"/>
      <c r="L328" s="616"/>
      <c r="M328" s="616"/>
      <c r="N328" s="1112"/>
      <c r="O328" s="1112"/>
      <c r="P328" s="1112"/>
      <c r="Q328" s="1112"/>
      <c r="R328" s="616"/>
      <c r="S328" s="616"/>
      <c r="T328" s="616"/>
      <c r="U328" s="616"/>
      <c r="V328" s="616"/>
      <c r="W328" s="616"/>
      <c r="X328" s="616"/>
      <c r="Y328" s="616"/>
      <c r="Z328" s="616"/>
      <c r="AA328" s="616"/>
      <c r="AB328" s="616"/>
      <c r="AC328" s="693"/>
    </row>
    <row r="329" spans="1:29">
      <c r="A329" s="1356" t="s">
        <v>1359</v>
      </c>
      <c r="B329" s="1158"/>
      <c r="C329" s="1126"/>
      <c r="D329" s="1208"/>
      <c r="E329" s="1111"/>
      <c r="F329" s="616"/>
      <c r="G329" s="616"/>
      <c r="H329" s="616"/>
      <c r="I329" s="616"/>
      <c r="J329" s="616"/>
      <c r="K329" s="616"/>
      <c r="L329" s="616"/>
      <c r="M329" s="616"/>
      <c r="N329" s="616"/>
      <c r="O329" s="616"/>
      <c r="P329" s="616"/>
      <c r="Q329" s="616"/>
      <c r="R329" s="616"/>
      <c r="S329" s="631"/>
      <c r="T329" s="631"/>
      <c r="U329" s="616"/>
      <c r="V329" s="616"/>
      <c r="W329" s="616"/>
      <c r="X329" s="616"/>
      <c r="Y329" s="616"/>
      <c r="Z329" s="616"/>
      <c r="AA329" s="616"/>
      <c r="AB329" s="616"/>
      <c r="AC329" s="693"/>
    </row>
    <row r="330" spans="1:29">
      <c r="A330" s="1356"/>
      <c r="B330" s="1158"/>
      <c r="C330" s="1126"/>
      <c r="D330" s="1208"/>
      <c r="E330" s="1111"/>
      <c r="F330" s="616"/>
      <c r="G330" s="616"/>
      <c r="H330" s="616"/>
      <c r="I330" s="616"/>
      <c r="J330" s="616"/>
      <c r="K330" s="616"/>
      <c r="L330" s="616"/>
      <c r="M330" s="616"/>
      <c r="N330" s="616"/>
      <c r="O330" s="616"/>
      <c r="P330" s="616"/>
      <c r="Q330" s="616"/>
      <c r="R330" s="616"/>
      <c r="S330" s="631"/>
      <c r="T330" s="631"/>
      <c r="U330" s="616"/>
      <c r="V330" s="616"/>
      <c r="W330" s="616"/>
      <c r="X330" s="616"/>
      <c r="Y330" s="616"/>
      <c r="Z330" s="616"/>
      <c r="AA330" s="616"/>
      <c r="AB330" s="616"/>
      <c r="AC330" s="693"/>
    </row>
    <row r="331" spans="1:29" ht="15.4" customHeight="1">
      <c r="A331" s="1180"/>
      <c r="B331" s="1180"/>
      <c r="C331" s="1180"/>
      <c r="D331" s="1180"/>
      <c r="E331" s="1508"/>
      <c r="F331" s="1508"/>
      <c r="G331" s="1508"/>
      <c r="H331" s="1508"/>
      <c r="I331" s="708"/>
      <c r="J331" s="708"/>
      <c r="K331" s="708"/>
      <c r="L331" s="708"/>
      <c r="M331" s="708"/>
      <c r="N331" s="708"/>
      <c r="O331" s="708"/>
      <c r="P331" s="708"/>
      <c r="Q331" s="708"/>
      <c r="R331" s="708"/>
      <c r="S331" s="708"/>
      <c r="T331" s="708"/>
      <c r="U331" s="708"/>
      <c r="V331" s="708"/>
      <c r="W331" s="1552" t="s">
        <v>12</v>
      </c>
      <c r="X331" s="1553"/>
      <c r="Y331" s="1553"/>
      <c r="Z331" s="1553"/>
      <c r="AA331" s="1554"/>
      <c r="AB331" s="1084">
        <v>3.8</v>
      </c>
      <c r="AC331" s="693"/>
    </row>
    <row r="332" spans="1:29">
      <c r="A332" s="613"/>
      <c r="B332" s="34"/>
      <c r="C332" s="34"/>
      <c r="D332" s="613"/>
      <c r="E332" s="34"/>
      <c r="F332" s="34">
        <v>0</v>
      </c>
      <c r="G332" s="34">
        <v>1</v>
      </c>
      <c r="H332" s="34">
        <v>2</v>
      </c>
      <c r="I332" s="34">
        <v>3</v>
      </c>
      <c r="J332" s="34">
        <v>4</v>
      </c>
      <c r="K332" s="34">
        <v>5</v>
      </c>
      <c r="L332" s="34">
        <v>6</v>
      </c>
      <c r="M332" s="34">
        <v>7</v>
      </c>
      <c r="N332" s="34">
        <v>8</v>
      </c>
      <c r="O332" s="34">
        <v>9</v>
      </c>
      <c r="P332" s="34">
        <v>10</v>
      </c>
      <c r="Q332" s="34">
        <v>11</v>
      </c>
      <c r="R332" s="34">
        <v>0</v>
      </c>
      <c r="S332" s="34">
        <v>1</v>
      </c>
      <c r="T332" s="34">
        <v>2</v>
      </c>
      <c r="U332" s="34">
        <v>3</v>
      </c>
      <c r="V332" s="34">
        <v>4</v>
      </c>
      <c r="W332" s="34">
        <v>5</v>
      </c>
      <c r="X332" s="34">
        <v>6</v>
      </c>
      <c r="Y332" s="34">
        <v>7</v>
      </c>
      <c r="Z332" s="34">
        <v>8</v>
      </c>
      <c r="AA332" s="34">
        <v>9</v>
      </c>
      <c r="AB332" s="34">
        <v>10</v>
      </c>
      <c r="AC332" s="693"/>
    </row>
    <row r="333" spans="1:29">
      <c r="A333" s="1387"/>
      <c r="B333" s="1186"/>
      <c r="C333" s="1186"/>
      <c r="D333" s="1186"/>
      <c r="E333" s="733"/>
      <c r="F333" s="740">
        <v>1999</v>
      </c>
      <c r="G333" s="740">
        <v>2000</v>
      </c>
      <c r="H333" s="740">
        <v>2001</v>
      </c>
      <c r="I333" s="740">
        <v>2002</v>
      </c>
      <c r="J333" s="740">
        <v>2003</v>
      </c>
      <c r="K333" s="740">
        <v>2004</v>
      </c>
      <c r="L333" s="740">
        <v>2005</v>
      </c>
      <c r="M333" s="740">
        <v>2006</v>
      </c>
      <c r="N333" s="740">
        <v>2007</v>
      </c>
      <c r="O333" s="740">
        <v>2008</v>
      </c>
      <c r="P333" s="740">
        <v>2009</v>
      </c>
      <c r="Q333" s="740">
        <v>2010</v>
      </c>
      <c r="R333" s="980">
        <v>2011</v>
      </c>
      <c r="S333" s="980">
        <v>2012</v>
      </c>
      <c r="T333" s="980">
        <v>2013</v>
      </c>
      <c r="U333" s="980">
        <v>2014</v>
      </c>
      <c r="V333" s="980">
        <v>2015</v>
      </c>
      <c r="W333" s="980">
        <v>2016</v>
      </c>
      <c r="X333" s="980">
        <v>2017</v>
      </c>
      <c r="Y333" s="980">
        <v>2018</v>
      </c>
      <c r="Z333" s="980">
        <v>2019</v>
      </c>
      <c r="AA333" s="980">
        <v>2020</v>
      </c>
      <c r="AB333" s="980">
        <v>2021</v>
      </c>
      <c r="AC333" s="693"/>
    </row>
    <row r="334" spans="1:29">
      <c r="A334" s="1031" t="s">
        <v>255</v>
      </c>
      <c r="B334" s="980"/>
      <c r="C334" s="980"/>
      <c r="D334" s="980"/>
      <c r="F334" s="694" t="e">
        <v>#REF!</v>
      </c>
      <c r="G334" s="694" t="e">
        <v>#REF!</v>
      </c>
      <c r="H334" s="694" t="e">
        <v>#REF!</v>
      </c>
      <c r="I334" s="694" t="e">
        <v>#REF!</v>
      </c>
      <c r="J334" s="694" t="e">
        <v>#REF!</v>
      </c>
      <c r="K334" s="694" t="e">
        <v>#REF!</v>
      </c>
      <c r="L334" s="694" t="e">
        <v>#REF!</v>
      </c>
      <c r="M334" s="694" t="e">
        <v>#REF!</v>
      </c>
      <c r="N334" s="694" t="e">
        <v>#REF!</v>
      </c>
      <c r="O334" s="694" t="e">
        <v>#REF!</v>
      </c>
      <c r="P334" s="694" t="e">
        <v>#REF!</v>
      </c>
      <c r="Q334" s="694" t="e">
        <v>#REF!</v>
      </c>
      <c r="R334" s="1113">
        <v>680204</v>
      </c>
      <c r="S334" s="1113">
        <v>700479</v>
      </c>
      <c r="T334" s="1113">
        <v>735000</v>
      </c>
      <c r="U334" s="1113">
        <v>768000</v>
      </c>
      <c r="V334" s="1113">
        <v>792000</v>
      </c>
      <c r="W334" s="1113">
        <v>736000</v>
      </c>
      <c r="X334" s="1113">
        <v>749000</v>
      </c>
      <c r="Y334" s="1113">
        <v>751000</v>
      </c>
      <c r="Z334" s="1113">
        <v>676000</v>
      </c>
      <c r="AA334" s="1113">
        <v>653000</v>
      </c>
      <c r="AB334" s="1113">
        <v>635000</v>
      </c>
      <c r="AC334" s="34"/>
    </row>
    <row r="335" spans="1:29">
      <c r="A335" s="774"/>
      <c r="B335" s="1335" t="s">
        <v>468</v>
      </c>
      <c r="C335" s="775"/>
      <c r="D335" s="775"/>
      <c r="E335" s="776"/>
      <c r="F335" s="694"/>
      <c r="G335" s="694"/>
      <c r="H335" s="694"/>
      <c r="I335" s="694"/>
      <c r="J335" s="694"/>
      <c r="K335" s="694"/>
      <c r="L335" s="694"/>
      <c r="M335" s="694"/>
      <c r="N335" s="694"/>
      <c r="O335" s="694"/>
      <c r="P335" s="694"/>
      <c r="Q335" s="694"/>
      <c r="R335" s="1113"/>
      <c r="S335" s="1113">
        <v>20275</v>
      </c>
      <c r="T335" s="1113">
        <v>34521</v>
      </c>
      <c r="U335" s="1113">
        <v>33000</v>
      </c>
      <c r="V335" s="1113">
        <v>24000</v>
      </c>
      <c r="W335" s="1113">
        <v>-56000</v>
      </c>
      <c r="X335" s="1113">
        <v>13000</v>
      </c>
      <c r="Y335" s="1113">
        <v>2000</v>
      </c>
      <c r="Z335" s="1113">
        <v>-75000</v>
      </c>
      <c r="AA335" s="1113">
        <v>-23000</v>
      </c>
      <c r="AB335" s="694">
        <v>-18000</v>
      </c>
      <c r="AC335" s="34"/>
    </row>
    <row r="336" spans="1:29">
      <c r="A336" s="774"/>
      <c r="B336" s="1335"/>
      <c r="C336" s="775"/>
      <c r="D336" s="775"/>
      <c r="E336" s="776"/>
      <c r="F336" s="694"/>
      <c r="G336" s="694"/>
      <c r="H336" s="694"/>
      <c r="I336" s="694"/>
      <c r="J336" s="694"/>
      <c r="K336" s="694"/>
      <c r="L336" s="694"/>
      <c r="M336" s="694"/>
      <c r="N336" s="694"/>
      <c r="O336" s="694"/>
      <c r="P336" s="694"/>
      <c r="Q336" s="694"/>
      <c r="R336" s="1113"/>
      <c r="S336" s="1113"/>
      <c r="T336" s="1113"/>
      <c r="U336" s="1113"/>
      <c r="V336" s="1113"/>
      <c r="W336" s="1113"/>
      <c r="X336" s="1113"/>
      <c r="Y336" s="1113"/>
      <c r="Z336" s="1113"/>
      <c r="AA336" s="1113"/>
      <c r="AB336" s="693"/>
      <c r="AC336" s="34"/>
    </row>
    <row r="337" spans="1:29">
      <c r="A337" s="692"/>
      <c r="B337" s="781" t="s">
        <v>254</v>
      </c>
      <c r="C337" s="1184"/>
      <c r="D337" s="80"/>
      <c r="E337" s="6"/>
      <c r="F337" s="34"/>
      <c r="G337" s="34"/>
      <c r="H337" s="34"/>
      <c r="I337" s="34"/>
      <c r="J337" s="34"/>
      <c r="K337" s="34"/>
      <c r="L337" s="616"/>
      <c r="M337" s="616"/>
      <c r="N337" s="616"/>
      <c r="O337" s="616"/>
      <c r="P337" s="34"/>
      <c r="Q337" s="34"/>
      <c r="R337" s="1111"/>
      <c r="S337" s="1116"/>
      <c r="T337" s="1111"/>
      <c r="U337" s="1111"/>
      <c r="V337" s="1111"/>
      <c r="W337" s="1111"/>
      <c r="X337" s="1111"/>
      <c r="Y337" s="1111"/>
      <c r="Z337" s="1111"/>
      <c r="AA337" s="1111"/>
      <c r="AB337" s="693"/>
      <c r="AC337" s="34"/>
    </row>
    <row r="338" spans="1:29">
      <c r="A338" s="692"/>
      <c r="B338" s="1131" t="s">
        <v>204</v>
      </c>
      <c r="C338" s="691"/>
      <c r="D338" s="1131"/>
      <c r="E338" s="1131"/>
      <c r="F338" s="728"/>
      <c r="G338" s="728"/>
      <c r="H338" s="728"/>
      <c r="I338" s="728"/>
      <c r="J338" s="728"/>
      <c r="K338" s="728"/>
      <c r="L338" s="728"/>
      <c r="M338" s="728"/>
      <c r="N338" s="728">
        <v>1317989</v>
      </c>
      <c r="O338" s="728">
        <v>1320348</v>
      </c>
      <c r="P338" s="728">
        <v>1326830</v>
      </c>
      <c r="Q338" s="728">
        <v>1607115</v>
      </c>
      <c r="R338" s="616">
        <v>719197</v>
      </c>
      <c r="S338" s="616">
        <v>738301</v>
      </c>
      <c r="T338" s="616">
        <v>757000</v>
      </c>
      <c r="U338" s="616">
        <v>791000</v>
      </c>
      <c r="V338" s="616">
        <v>822000</v>
      </c>
      <c r="W338" s="616">
        <v>778000</v>
      </c>
      <c r="X338" s="616">
        <v>783000</v>
      </c>
      <c r="Y338" s="616">
        <v>780000</v>
      </c>
      <c r="Z338" s="616">
        <v>728000</v>
      </c>
      <c r="AA338" s="616">
        <v>712000</v>
      </c>
      <c r="AB338" s="693">
        <v>697000</v>
      </c>
      <c r="AC338" s="45">
        <v>-22197</v>
      </c>
    </row>
    <row r="339" spans="1:29">
      <c r="A339" s="692"/>
      <c r="B339" s="1319" t="s">
        <v>468</v>
      </c>
      <c r="C339" s="691"/>
      <c r="D339" s="1131"/>
      <c r="E339" s="1131"/>
      <c r="F339" s="616"/>
      <c r="G339" s="616"/>
      <c r="H339" s="616"/>
      <c r="I339" s="616"/>
      <c r="J339" s="616"/>
      <c r="K339" s="616"/>
      <c r="L339" s="616"/>
      <c r="M339" s="616"/>
      <c r="N339" s="616"/>
      <c r="O339" s="616"/>
      <c r="P339" s="616"/>
      <c r="Q339" s="616"/>
      <c r="R339" s="616"/>
      <c r="S339" s="616">
        <v>19104</v>
      </c>
      <c r="T339" s="616">
        <v>18699</v>
      </c>
      <c r="U339" s="616">
        <v>34000</v>
      </c>
      <c r="V339" s="616">
        <v>31000</v>
      </c>
      <c r="W339" s="616">
        <v>-44000</v>
      </c>
      <c r="X339" s="616">
        <v>5000</v>
      </c>
      <c r="Y339" s="616">
        <v>-3000</v>
      </c>
      <c r="Z339" s="616">
        <v>-52000</v>
      </c>
      <c r="AA339" s="616">
        <v>-16000</v>
      </c>
      <c r="AB339" s="616">
        <v>-15000</v>
      </c>
      <c r="AC339" s="45">
        <v>-22197</v>
      </c>
    </row>
    <row r="340" spans="1:29">
      <c r="A340" s="692"/>
      <c r="B340" s="1131"/>
      <c r="C340" s="691"/>
      <c r="D340" s="1131"/>
      <c r="E340" s="1131"/>
      <c r="F340" s="616"/>
      <c r="G340" s="616"/>
      <c r="H340" s="616"/>
      <c r="I340" s="616"/>
      <c r="J340" s="616"/>
      <c r="K340" s="616"/>
      <c r="L340" s="616"/>
      <c r="M340" s="616"/>
      <c r="N340" s="616"/>
      <c r="O340" s="616"/>
      <c r="P340" s="616"/>
      <c r="Q340" s="616"/>
      <c r="R340" s="616"/>
      <c r="S340" s="616"/>
      <c r="T340" s="616"/>
      <c r="U340" s="616"/>
      <c r="V340" s="616"/>
      <c r="W340" s="616"/>
      <c r="X340" s="616"/>
      <c r="Y340" s="616"/>
      <c r="Z340" s="616"/>
      <c r="AA340" s="616"/>
      <c r="AB340" s="693"/>
      <c r="AC340" s="34"/>
    </row>
    <row r="341" spans="1:29">
      <c r="A341" s="692"/>
      <c r="B341" s="1255" t="s">
        <v>203</v>
      </c>
      <c r="C341" s="1317"/>
      <c r="D341" s="1318"/>
      <c r="E341" s="1131"/>
      <c r="F341" s="616"/>
      <c r="G341" s="616"/>
      <c r="H341" s="616"/>
      <c r="I341" s="616"/>
      <c r="J341" s="616"/>
      <c r="K341" s="616"/>
      <c r="L341" s="616"/>
      <c r="M341" s="616"/>
      <c r="N341" s="616"/>
      <c r="O341" s="616"/>
      <c r="P341" s="616"/>
      <c r="Q341" s="616"/>
      <c r="R341" s="616"/>
      <c r="S341" s="616"/>
      <c r="T341" s="616"/>
      <c r="U341" s="616"/>
      <c r="V341" s="616"/>
      <c r="W341" s="616"/>
      <c r="X341" s="616"/>
      <c r="Y341" s="616"/>
      <c r="Z341" s="616"/>
      <c r="AA341" s="616"/>
      <c r="AB341" s="693"/>
      <c r="AC341" s="34"/>
    </row>
    <row r="342" spans="1:29">
      <c r="A342" s="692"/>
      <c r="B342" s="1131" t="s">
        <v>259</v>
      </c>
      <c r="C342" s="691"/>
      <c r="D342" s="1131"/>
      <c r="E342" s="1131"/>
      <c r="F342" s="616"/>
      <c r="G342" s="616"/>
      <c r="H342" s="616"/>
      <c r="I342" s="616"/>
      <c r="J342" s="616"/>
      <c r="K342" s="616"/>
      <c r="L342" s="616"/>
      <c r="M342" s="616"/>
      <c r="N342" s="616">
        <v>9503</v>
      </c>
      <c r="O342" s="616">
        <v>-7413</v>
      </c>
      <c r="P342" s="616">
        <v>-27977</v>
      </c>
      <c r="Q342" s="616">
        <v>-23505</v>
      </c>
      <c r="R342" s="616">
        <v>-17079</v>
      </c>
      <c r="S342" s="616">
        <v>-13365</v>
      </c>
      <c r="T342" s="616">
        <v>-6000</v>
      </c>
      <c r="U342" s="616">
        <v>-7000</v>
      </c>
      <c r="V342" s="616">
        <v>-16000</v>
      </c>
      <c r="W342" s="616">
        <v>-19000</v>
      </c>
      <c r="X342" s="616">
        <v>-18000</v>
      </c>
      <c r="Y342" s="616">
        <v>-14000</v>
      </c>
      <c r="Z342" s="616">
        <v>-30000</v>
      </c>
      <c r="AA342" s="616">
        <v>-34000</v>
      </c>
      <c r="AB342" s="693">
        <v>-34000</v>
      </c>
      <c r="AC342" s="34"/>
    </row>
    <row r="343" spans="1:29">
      <c r="A343" s="692"/>
      <c r="B343" s="1131" t="s">
        <v>140</v>
      </c>
      <c r="C343" s="691"/>
      <c r="D343" s="1131"/>
      <c r="E343" s="1131"/>
      <c r="F343" s="616"/>
      <c r="G343" s="616"/>
      <c r="H343" s="616"/>
      <c r="I343" s="616"/>
      <c r="J343" s="616"/>
      <c r="K343" s="616"/>
      <c r="L343" s="616"/>
      <c r="M343" s="616"/>
      <c r="N343" s="616"/>
      <c r="O343" s="616"/>
      <c r="P343" s="616"/>
      <c r="Q343" s="616">
        <v>0</v>
      </c>
      <c r="R343" s="616"/>
      <c r="S343" s="616"/>
      <c r="T343" s="616"/>
      <c r="U343" s="616"/>
      <c r="V343" s="616"/>
      <c r="W343" s="616"/>
      <c r="X343" s="616"/>
      <c r="Y343" s="616"/>
      <c r="Z343" s="616"/>
      <c r="AA343" s="616"/>
      <c r="AB343" s="693"/>
      <c r="AC343" s="34"/>
    </row>
    <row r="344" spans="1:29">
      <c r="A344" s="692"/>
      <c r="B344" s="1131" t="s">
        <v>175</v>
      </c>
      <c r="C344" s="691"/>
      <c r="D344" s="1131"/>
      <c r="E344" s="1131"/>
      <c r="F344" s="616"/>
      <c r="G344" s="616"/>
      <c r="H344" s="616"/>
      <c r="I344" s="616"/>
      <c r="J344" s="616"/>
      <c r="K344" s="616"/>
      <c r="L344" s="616"/>
      <c r="M344" s="616"/>
      <c r="N344" s="616"/>
      <c r="O344" s="616"/>
      <c r="P344" s="616"/>
      <c r="Q344" s="616"/>
      <c r="R344" s="616">
        <v>-12379</v>
      </c>
      <c r="S344" s="616">
        <v>-13897</v>
      </c>
      <c r="T344" s="616">
        <v>-18000</v>
      </c>
      <c r="U344" s="616">
        <v>-14000</v>
      </c>
      <c r="V344" s="616"/>
      <c r="W344" s="616"/>
      <c r="X344" s="616"/>
      <c r="Y344" s="616"/>
      <c r="Z344" s="616"/>
      <c r="AA344" s="616"/>
      <c r="AB344" s="693"/>
      <c r="AC344" s="34"/>
    </row>
    <row r="345" spans="1:29">
      <c r="A345" s="692"/>
      <c r="B345" s="1131" t="s">
        <v>222</v>
      </c>
      <c r="C345" s="691"/>
      <c r="D345" s="1131"/>
      <c r="E345" s="1131"/>
      <c r="F345" s="616"/>
      <c r="G345" s="616"/>
      <c r="H345" s="616"/>
      <c r="I345" s="616"/>
      <c r="J345" s="616"/>
      <c r="K345" s="616"/>
      <c r="L345" s="616"/>
      <c r="M345" s="616"/>
      <c r="N345" s="616">
        <v>4243</v>
      </c>
      <c r="O345" s="616">
        <v>15421</v>
      </c>
      <c r="P345" s="616">
        <v>1929</v>
      </c>
      <c r="Q345" s="616">
        <v>-4907</v>
      </c>
      <c r="R345" s="702">
        <v>-9535</v>
      </c>
      <c r="S345" s="702">
        <v>-10560</v>
      </c>
      <c r="T345" s="702">
        <v>2000</v>
      </c>
      <c r="U345" s="702">
        <v>-2000</v>
      </c>
      <c r="V345" s="702">
        <v>-14000</v>
      </c>
      <c r="W345" s="702">
        <v>-23000</v>
      </c>
      <c r="X345" s="702">
        <v>-16000</v>
      </c>
      <c r="Y345" s="702">
        <v>-15000</v>
      </c>
      <c r="Z345" s="702">
        <v>-22000</v>
      </c>
      <c r="AA345" s="702">
        <v>-25000</v>
      </c>
      <c r="AB345" s="767">
        <v>-28000</v>
      </c>
      <c r="AC345" s="34"/>
    </row>
    <row r="346" spans="1:29">
      <c r="A346" s="692"/>
      <c r="B346" s="1131" t="s">
        <v>1250</v>
      </c>
      <c r="C346" s="691"/>
      <c r="D346" s="1131"/>
      <c r="E346" s="1131"/>
      <c r="F346" s="616"/>
      <c r="G346" s="616"/>
      <c r="H346" s="616"/>
      <c r="I346" s="616"/>
      <c r="J346" s="616"/>
      <c r="K346" s="616"/>
      <c r="L346" s="616"/>
      <c r="M346" s="616"/>
      <c r="N346" s="616"/>
      <c r="O346" s="616"/>
      <c r="P346" s="616"/>
      <c r="Q346" s="616"/>
      <c r="R346" s="616">
        <v>-38993</v>
      </c>
      <c r="S346" s="616">
        <v>-37822</v>
      </c>
      <c r="T346" s="616">
        <v>-22000</v>
      </c>
      <c r="U346" s="616">
        <v>-23000</v>
      </c>
      <c r="V346" s="616">
        <v>-30000</v>
      </c>
      <c r="W346" s="616">
        <v>-42000</v>
      </c>
      <c r="X346" s="616">
        <v>-34000</v>
      </c>
      <c r="Y346" s="616">
        <v>-29000</v>
      </c>
      <c r="Z346" s="616">
        <v>-52000</v>
      </c>
      <c r="AA346" s="616">
        <v>-59000</v>
      </c>
      <c r="AB346" s="616">
        <v>-62000</v>
      </c>
      <c r="AC346" s="45">
        <v>-23007</v>
      </c>
    </row>
    <row r="347" spans="1:29">
      <c r="A347" s="692"/>
      <c r="B347" s="1319" t="s">
        <v>468</v>
      </c>
      <c r="C347" s="691"/>
      <c r="D347" s="1131"/>
      <c r="E347" s="1131"/>
      <c r="F347" s="616"/>
      <c r="G347" s="616"/>
      <c r="H347" s="616"/>
      <c r="I347" s="616"/>
      <c r="J347" s="616"/>
      <c r="K347" s="616"/>
      <c r="L347" s="616"/>
      <c r="M347" s="616"/>
      <c r="N347" s="616"/>
      <c r="O347" s="616"/>
      <c r="P347" s="616"/>
      <c r="Q347" s="616"/>
      <c r="R347" s="616"/>
      <c r="S347" s="616">
        <v>1171</v>
      </c>
      <c r="T347" s="616">
        <v>15822</v>
      </c>
      <c r="U347" s="616">
        <v>-1000</v>
      </c>
      <c r="V347" s="616">
        <v>-7000</v>
      </c>
      <c r="W347" s="616">
        <v>-12000</v>
      </c>
      <c r="X347" s="616">
        <v>8000</v>
      </c>
      <c r="Y347" s="616">
        <v>5000</v>
      </c>
      <c r="Z347" s="616">
        <v>-23000</v>
      </c>
      <c r="AA347" s="616">
        <v>-7000</v>
      </c>
      <c r="AB347" s="616">
        <v>-3000</v>
      </c>
      <c r="AC347" s="45">
        <v>-23007</v>
      </c>
    </row>
    <row r="348" spans="1:29">
      <c r="A348" s="692"/>
      <c r="B348" s="1131"/>
      <c r="C348" s="691"/>
      <c r="D348" s="1131"/>
      <c r="E348" s="1131"/>
      <c r="F348" s="616"/>
      <c r="G348" s="616"/>
      <c r="H348" s="616"/>
      <c r="I348" s="616"/>
      <c r="J348" s="616"/>
      <c r="K348" s="616"/>
      <c r="L348" s="616"/>
      <c r="M348" s="616"/>
      <c r="N348" s="616"/>
      <c r="O348" s="616"/>
      <c r="P348" s="616"/>
      <c r="Q348" s="616"/>
      <c r="R348" s="616"/>
      <c r="S348" s="616"/>
      <c r="T348" s="616"/>
      <c r="U348" s="616"/>
      <c r="V348" s="616"/>
      <c r="W348" s="616"/>
      <c r="X348" s="616"/>
      <c r="Y348" s="616"/>
      <c r="Z348" s="616"/>
      <c r="AA348" s="616"/>
      <c r="AB348" s="693"/>
      <c r="AC348" s="34"/>
    </row>
    <row r="349" spans="1:29">
      <c r="A349" s="692"/>
      <c r="B349" s="711" t="s">
        <v>255</v>
      </c>
      <c r="C349" s="6"/>
      <c r="D349" s="6"/>
      <c r="E349" s="6"/>
      <c r="F349" s="34"/>
      <c r="G349" s="34"/>
      <c r="H349" s="34"/>
      <c r="I349" s="34"/>
      <c r="J349" s="34"/>
      <c r="K349" s="616"/>
      <c r="L349" s="616"/>
      <c r="M349" s="616"/>
      <c r="N349" s="706">
        <v>1331735</v>
      </c>
      <c r="O349" s="706">
        <v>1328356</v>
      </c>
      <c r="P349" s="706">
        <v>1300782</v>
      </c>
      <c r="Q349" s="706">
        <v>1578703</v>
      </c>
      <c r="R349" s="706">
        <v>680204</v>
      </c>
      <c r="S349" s="706">
        <v>700479</v>
      </c>
      <c r="T349" s="706">
        <v>735000</v>
      </c>
      <c r="U349" s="706">
        <v>768000</v>
      </c>
      <c r="V349" s="706">
        <v>792000</v>
      </c>
      <c r="W349" s="706">
        <v>736000</v>
      </c>
      <c r="X349" s="706">
        <v>749000</v>
      </c>
      <c r="Y349" s="706">
        <v>751000</v>
      </c>
      <c r="Z349" s="706">
        <v>676000</v>
      </c>
      <c r="AA349" s="706">
        <v>653000</v>
      </c>
      <c r="AB349" s="706">
        <v>635000</v>
      </c>
      <c r="AC349" s="45">
        <v>45204</v>
      </c>
    </row>
    <row r="350" spans="1:29">
      <c r="A350" s="1184"/>
      <c r="B350" s="80"/>
      <c r="C350" s="80"/>
      <c r="D350" s="254" t="s">
        <v>93</v>
      </c>
      <c r="E350" s="80"/>
      <c r="F350" s="43"/>
      <c r="G350" s="43"/>
      <c r="H350" s="43"/>
      <c r="I350" s="43"/>
      <c r="J350" s="43"/>
      <c r="K350" s="702"/>
      <c r="L350" s="702"/>
      <c r="M350" s="702"/>
      <c r="N350" s="702"/>
      <c r="O350" s="702"/>
      <c r="P350" s="702"/>
      <c r="Q350" s="702"/>
      <c r="R350" s="724">
        <v>0</v>
      </c>
      <c r="S350" s="724">
        <v>0</v>
      </c>
      <c r="T350" s="724">
        <v>0</v>
      </c>
      <c r="U350" s="724">
        <v>0</v>
      </c>
      <c r="V350" s="724">
        <v>0</v>
      </c>
      <c r="W350" s="724">
        <v>0</v>
      </c>
      <c r="X350" s="724">
        <v>0</v>
      </c>
      <c r="Y350" s="724">
        <v>0</v>
      </c>
      <c r="Z350" s="724">
        <v>0</v>
      </c>
      <c r="AA350" s="724">
        <v>0</v>
      </c>
      <c r="AB350" s="724">
        <v>0</v>
      </c>
      <c r="AC350" s="34"/>
    </row>
    <row r="351" spans="1:29" ht="18">
      <c r="E351" s="1528"/>
      <c r="F351" s="1528"/>
      <c r="G351" s="763"/>
      <c r="H351" s="763"/>
      <c r="I351" s="729"/>
      <c r="J351" s="729"/>
      <c r="K351" s="729"/>
      <c r="L351" s="729"/>
      <c r="M351" s="729"/>
      <c r="N351" s="729"/>
      <c r="O351" s="729"/>
      <c r="P351" s="729"/>
      <c r="Q351" s="729"/>
      <c r="R351" s="729"/>
      <c r="S351" s="729"/>
      <c r="T351" s="729"/>
      <c r="U351" s="729"/>
      <c r="V351" s="1080"/>
      <c r="W351" s="1564" t="s">
        <v>263</v>
      </c>
      <c r="X351" s="1565"/>
      <c r="Y351" s="1565"/>
      <c r="Z351" s="1565"/>
      <c r="AA351" s="1566"/>
      <c r="AB351" s="1084">
        <v>3.9</v>
      </c>
    </row>
    <row r="352" spans="1:29">
      <c r="A352" s="989"/>
      <c r="B352" s="989"/>
      <c r="C352" s="989"/>
      <c r="D352" s="989"/>
      <c r="E352" s="959"/>
      <c r="F352" s="34">
        <v>0</v>
      </c>
      <c r="G352" s="34">
        <v>1</v>
      </c>
      <c r="H352" s="34">
        <v>2</v>
      </c>
      <c r="I352" s="34">
        <v>3</v>
      </c>
      <c r="J352" s="34">
        <v>4</v>
      </c>
      <c r="K352" s="34">
        <v>5</v>
      </c>
      <c r="L352" s="34">
        <v>6</v>
      </c>
      <c r="M352" s="34">
        <v>7</v>
      </c>
      <c r="N352" s="1276">
        <v>8</v>
      </c>
      <c r="O352" s="34">
        <v>9</v>
      </c>
      <c r="P352" s="34">
        <v>10</v>
      </c>
      <c r="Q352" s="34">
        <v>11</v>
      </c>
      <c r="R352" s="34">
        <v>0</v>
      </c>
      <c r="S352" s="34">
        <v>1</v>
      </c>
      <c r="T352" s="34">
        <v>2</v>
      </c>
      <c r="U352" s="34">
        <v>3</v>
      </c>
      <c r="V352" s="34">
        <v>4</v>
      </c>
      <c r="W352" s="1111">
        <v>5</v>
      </c>
      <c r="X352" s="1111">
        <v>6</v>
      </c>
      <c r="Y352" s="1111">
        <v>7</v>
      </c>
      <c r="Z352" s="1111">
        <v>8</v>
      </c>
      <c r="AA352" s="1111">
        <v>9</v>
      </c>
      <c r="AB352" s="1111">
        <v>10</v>
      </c>
    </row>
    <row r="353" spans="1:33">
      <c r="A353" s="34"/>
      <c r="B353" s="34"/>
      <c r="C353" s="34"/>
      <c r="D353" s="1276"/>
      <c r="E353" s="1276" t="s">
        <v>44</v>
      </c>
      <c r="F353" s="980">
        <v>1999</v>
      </c>
      <c r="G353" s="980">
        <v>2000</v>
      </c>
      <c r="H353" s="980">
        <v>2001</v>
      </c>
      <c r="I353" s="980">
        <v>2002</v>
      </c>
      <c r="J353" s="980">
        <v>2003</v>
      </c>
      <c r="K353" s="980">
        <v>2004</v>
      </c>
      <c r="L353" s="980">
        <v>2005</v>
      </c>
      <c r="M353" s="980">
        <v>2006</v>
      </c>
      <c r="N353" s="980">
        <v>2007</v>
      </c>
      <c r="O353" s="980">
        <v>2008</v>
      </c>
      <c r="P353" s="980">
        <v>2009</v>
      </c>
      <c r="Q353" s="980">
        <v>2010</v>
      </c>
      <c r="R353" s="980">
        <v>2011</v>
      </c>
      <c r="S353" s="980">
        <v>2012</v>
      </c>
      <c r="T353" s="980">
        <v>2013</v>
      </c>
      <c r="U353" s="980">
        <v>2014</v>
      </c>
      <c r="V353" s="980">
        <v>2015</v>
      </c>
      <c r="W353" s="980">
        <v>2016</v>
      </c>
      <c r="X353" s="980">
        <v>2017</v>
      </c>
      <c r="Y353" s="980">
        <v>2018</v>
      </c>
      <c r="Z353" s="980">
        <v>2019</v>
      </c>
      <c r="AA353" s="980">
        <v>2020</v>
      </c>
      <c r="AB353" s="980">
        <v>2021</v>
      </c>
    </row>
    <row r="354" spans="1:33">
      <c r="A354" s="1506" t="s">
        <v>17</v>
      </c>
      <c r="B354" s="1506"/>
      <c r="C354" s="1506"/>
      <c r="D354" s="1506"/>
      <c r="E354" s="1276"/>
      <c r="F354" s="980"/>
      <c r="G354" s="980"/>
      <c r="H354" s="980"/>
      <c r="I354" s="980"/>
      <c r="J354" s="980"/>
      <c r="K354" s="980"/>
      <c r="L354" s="980"/>
      <c r="M354" s="980"/>
      <c r="N354" s="980"/>
      <c r="O354" s="980"/>
      <c r="P354" s="980"/>
      <c r="Q354" s="980"/>
      <c r="R354" s="1127"/>
      <c r="S354" s="1127"/>
      <c r="T354" s="1127"/>
      <c r="U354" s="1127"/>
      <c r="V354" s="1127"/>
      <c r="W354" s="1127"/>
      <c r="X354" s="1127"/>
      <c r="Y354" s="1127"/>
      <c r="Z354" s="1127"/>
      <c r="AA354" s="1127"/>
      <c r="AB354" s="1127"/>
    </row>
    <row r="355" spans="1:33">
      <c r="A355" s="727"/>
      <c r="B355" s="613" t="s">
        <v>264</v>
      </c>
      <c r="C355" s="731"/>
      <c r="D355" s="458"/>
      <c r="E355" s="458"/>
      <c r="F355" s="616">
        <v>1561355</v>
      </c>
      <c r="G355" s="616">
        <v>1673151</v>
      </c>
      <c r="H355" s="616">
        <v>1618159</v>
      </c>
      <c r="I355" s="616">
        <v>1662247</v>
      </c>
      <c r="J355" s="616">
        <v>2299802</v>
      </c>
      <c r="K355" s="616">
        <v>2401779</v>
      </c>
      <c r="L355" s="616">
        <v>2469080</v>
      </c>
      <c r="M355" s="616">
        <v>3438064</v>
      </c>
      <c r="N355" s="616">
        <v>4401790</v>
      </c>
      <c r="O355" s="616">
        <v>4204632</v>
      </c>
      <c r="P355" s="616">
        <v>4284128</v>
      </c>
      <c r="Q355" s="616">
        <v>5070684</v>
      </c>
      <c r="R355" s="616">
        <v>3235610</v>
      </c>
      <c r="S355" s="616">
        <v>3417672</v>
      </c>
      <c r="T355" s="616">
        <v>3537000</v>
      </c>
      <c r="U355" s="616">
        <v>3582000</v>
      </c>
      <c r="V355" s="616">
        <v>3171000</v>
      </c>
      <c r="W355" s="616">
        <v>2825000</v>
      </c>
      <c r="X355" s="616">
        <v>2778000</v>
      </c>
      <c r="Y355" s="616">
        <v>2727000</v>
      </c>
      <c r="Z355" s="616">
        <v>2782000</v>
      </c>
      <c r="AA355" s="616">
        <v>2621000</v>
      </c>
      <c r="AB355" s="616">
        <v>2927000</v>
      </c>
    </row>
    <row r="356" spans="1:33">
      <c r="A356" s="727"/>
      <c r="B356" s="34" t="s">
        <v>1227</v>
      </c>
      <c r="C356" s="731"/>
      <c r="D356" s="34"/>
      <c r="E356" s="34"/>
      <c r="F356" s="616"/>
      <c r="G356" s="616"/>
      <c r="H356" s="616"/>
      <c r="I356" s="616"/>
      <c r="J356" s="616"/>
      <c r="K356" s="616"/>
      <c r="L356" s="616"/>
      <c r="M356" s="616"/>
      <c r="N356" s="616"/>
      <c r="O356" s="616"/>
      <c r="P356" s="616"/>
      <c r="Q356" s="616"/>
      <c r="R356" s="616"/>
      <c r="S356" s="616"/>
      <c r="T356" s="616"/>
      <c r="U356" s="616"/>
      <c r="V356" s="616"/>
      <c r="W356" s="616"/>
      <c r="X356" s="726">
        <v>-22000</v>
      </c>
      <c r="Y356" s="616"/>
      <c r="Z356" s="616"/>
      <c r="AA356" s="616"/>
      <c r="AB356" s="616"/>
    </row>
    <row r="357" spans="1:33">
      <c r="A357" s="727"/>
      <c r="B357" s="34" t="s">
        <v>265</v>
      </c>
      <c r="C357" s="731"/>
      <c r="D357" s="34"/>
      <c r="E357" s="34"/>
      <c r="F357" s="616" t="e">
        <v>#REF!</v>
      </c>
      <c r="G357" s="616" t="e">
        <v>#REF!</v>
      </c>
      <c r="H357" s="616" t="e">
        <v>#REF!</v>
      </c>
      <c r="I357" s="616" t="e">
        <v>#REF!</v>
      </c>
      <c r="J357" s="616" t="e">
        <v>#REF!</v>
      </c>
      <c r="K357" s="616" t="e">
        <v>#REF!</v>
      </c>
      <c r="L357" s="616" t="e">
        <v>#REF!</v>
      </c>
      <c r="M357" s="616" t="e">
        <v>#REF!</v>
      </c>
      <c r="N357" s="616">
        <v>819825</v>
      </c>
      <c r="O357" s="616">
        <v>754666</v>
      </c>
      <c r="P357" s="616">
        <v>673434</v>
      </c>
      <c r="Q357" s="616">
        <v>901473</v>
      </c>
      <c r="R357" s="616">
        <v>150294</v>
      </c>
      <c r="S357" s="616">
        <v>190000</v>
      </c>
      <c r="T357" s="616">
        <v>199000</v>
      </c>
      <c r="U357" s="616">
        <v>234000</v>
      </c>
      <c r="V357" s="616">
        <v>133000</v>
      </c>
      <c r="W357" s="616">
        <v>-66000</v>
      </c>
      <c r="X357" s="616">
        <v>129000</v>
      </c>
      <c r="Y357" s="616">
        <v>132000</v>
      </c>
      <c r="Z357" s="616">
        <v>345000</v>
      </c>
      <c r="AA357" s="616">
        <v>125000</v>
      </c>
      <c r="AB357" s="616">
        <v>187000</v>
      </c>
    </row>
    <row r="358" spans="1:33">
      <c r="A358" s="727"/>
      <c r="R358" s="1121"/>
      <c r="S358" s="1121"/>
      <c r="T358" s="1121"/>
      <c r="U358" s="1121"/>
      <c r="V358" s="1121"/>
      <c r="W358" s="1121"/>
      <c r="X358" s="1121"/>
      <c r="Y358" s="1121"/>
      <c r="Z358" s="1121"/>
      <c r="AA358" s="1121"/>
      <c r="AB358" s="1121"/>
    </row>
    <row r="359" spans="1:33">
      <c r="A359" s="727"/>
      <c r="B359" s="613" t="s">
        <v>10</v>
      </c>
      <c r="C359" s="731"/>
      <c r="D359" s="34"/>
      <c r="E359" s="34"/>
      <c r="F359" s="616"/>
      <c r="G359" s="616"/>
      <c r="H359" s="616"/>
      <c r="I359" s="616"/>
      <c r="J359" s="616"/>
      <c r="K359" s="616"/>
      <c r="L359" s="616"/>
      <c r="M359" s="616"/>
      <c r="N359" s="616"/>
      <c r="O359" s="616"/>
      <c r="P359" s="616"/>
      <c r="Q359" s="616"/>
      <c r="R359" s="616">
        <v>-4787</v>
      </c>
      <c r="S359" s="616">
        <v>29000</v>
      </c>
      <c r="T359" s="616">
        <v>12000</v>
      </c>
      <c r="U359" s="616">
        <v>-9000</v>
      </c>
      <c r="V359" s="616"/>
      <c r="W359" s="616"/>
      <c r="X359" s="616"/>
      <c r="Y359" s="616"/>
      <c r="Z359" s="616"/>
      <c r="AA359" s="616"/>
      <c r="AB359" s="616"/>
    </row>
    <row r="360" spans="1:33">
      <c r="A360" s="727"/>
      <c r="B360" s="34" t="s">
        <v>266</v>
      </c>
      <c r="C360" s="731"/>
      <c r="D360" s="34"/>
      <c r="E360" s="34"/>
      <c r="F360" s="616"/>
      <c r="G360" s="616"/>
      <c r="H360" s="616"/>
      <c r="I360" s="616"/>
      <c r="J360" s="616"/>
      <c r="K360" s="616"/>
      <c r="L360" s="616"/>
      <c r="M360" s="616"/>
      <c r="N360" s="616"/>
      <c r="O360" s="616"/>
      <c r="P360" s="616"/>
      <c r="Q360" s="616"/>
      <c r="R360" s="702"/>
      <c r="S360" s="702"/>
      <c r="T360" s="702"/>
      <c r="U360" s="702"/>
      <c r="V360" s="702">
        <v>10000</v>
      </c>
      <c r="W360" s="702">
        <v>2000</v>
      </c>
      <c r="X360" s="702">
        <v>-15000</v>
      </c>
      <c r="Y360" s="702">
        <v>14000</v>
      </c>
      <c r="Z360" s="702">
        <v>-46000</v>
      </c>
      <c r="AA360" s="702">
        <v>-10000</v>
      </c>
      <c r="AB360" s="702">
        <v>-2000</v>
      </c>
    </row>
    <row r="361" spans="1:33">
      <c r="A361" s="727"/>
      <c r="B361" s="34" t="s">
        <v>267</v>
      </c>
      <c r="C361" s="731"/>
      <c r="D361" s="34"/>
      <c r="E361" s="34"/>
      <c r="F361" s="616" t="e">
        <v>#REF!</v>
      </c>
      <c r="G361" s="616" t="e">
        <v>#REF!</v>
      </c>
      <c r="H361" s="616" t="e">
        <v>#REF!</v>
      </c>
      <c r="I361" s="616" t="e">
        <v>#REF!</v>
      </c>
      <c r="J361" s="616" t="e">
        <v>#REF!</v>
      </c>
      <c r="K361" s="616" t="e">
        <v>#REF!</v>
      </c>
      <c r="L361" s="616" t="e">
        <v>#REF!</v>
      </c>
      <c r="M361" s="616" t="e">
        <v>#REF!</v>
      </c>
      <c r="N361" s="616">
        <v>819825</v>
      </c>
      <c r="O361" s="616">
        <v>754666</v>
      </c>
      <c r="P361" s="616">
        <v>673434</v>
      </c>
      <c r="Q361" s="616">
        <v>901473</v>
      </c>
      <c r="R361" s="616">
        <v>145507</v>
      </c>
      <c r="S361" s="616">
        <v>219000</v>
      </c>
      <c r="T361" s="616">
        <v>211000</v>
      </c>
      <c r="U361" s="616">
        <v>225000</v>
      </c>
      <c r="V361" s="616">
        <v>143000</v>
      </c>
      <c r="W361" s="616">
        <v>-64000</v>
      </c>
      <c r="X361" s="616">
        <v>114000</v>
      </c>
      <c r="Y361" s="616">
        <v>146000</v>
      </c>
      <c r="Z361" s="616">
        <v>299000</v>
      </c>
      <c r="AA361" s="616">
        <v>115000</v>
      </c>
      <c r="AB361" s="616">
        <v>185000</v>
      </c>
      <c r="AD361" s="1110"/>
      <c r="AE361" s="1110"/>
      <c r="AF361" s="1110"/>
      <c r="AG361" s="1110"/>
    </row>
    <row r="362" spans="1:33">
      <c r="A362" s="727"/>
      <c r="B362" s="34"/>
      <c r="C362" s="731"/>
      <c r="D362" s="34"/>
      <c r="E362" s="34"/>
      <c r="F362" s="616"/>
      <c r="G362" s="616"/>
      <c r="H362" s="616"/>
      <c r="I362" s="616"/>
      <c r="J362" s="616"/>
      <c r="K362" s="616"/>
      <c r="L362" s="616"/>
      <c r="M362" s="616"/>
      <c r="N362" s="616"/>
      <c r="O362" s="616"/>
      <c r="P362" s="616"/>
      <c r="Q362" s="616"/>
      <c r="R362" s="616"/>
      <c r="S362" s="616"/>
      <c r="T362" s="616"/>
      <c r="U362" s="616"/>
      <c r="V362" s="616"/>
      <c r="W362" s="616"/>
      <c r="X362" s="616"/>
      <c r="Y362" s="616"/>
      <c r="Z362" s="616"/>
      <c r="AA362" s="616"/>
      <c r="AB362" s="616"/>
      <c r="AD362" s="1110"/>
      <c r="AE362" s="1110"/>
      <c r="AF362" s="1110"/>
      <c r="AG362" s="1110"/>
    </row>
    <row r="363" spans="1:33">
      <c r="A363" s="727"/>
      <c r="B363" s="34" t="s">
        <v>1164</v>
      </c>
      <c r="C363" s="731"/>
      <c r="D363" s="34"/>
      <c r="E363" s="6"/>
      <c r="F363" s="616"/>
      <c r="G363" s="616"/>
      <c r="H363" s="616"/>
      <c r="I363" s="616"/>
      <c r="J363" s="616"/>
      <c r="K363" s="616"/>
      <c r="L363" s="616"/>
      <c r="M363" s="616"/>
      <c r="N363" s="34"/>
      <c r="O363" s="616"/>
      <c r="P363" s="616"/>
      <c r="Q363" s="616"/>
      <c r="R363" s="616"/>
      <c r="S363" s="616">
        <v>121000</v>
      </c>
      <c r="T363" s="616">
        <v>71000</v>
      </c>
      <c r="U363" s="616"/>
      <c r="V363" s="616"/>
      <c r="W363" s="616">
        <v>-100000</v>
      </c>
      <c r="X363" s="616"/>
      <c r="Y363" s="616">
        <v>5000</v>
      </c>
      <c r="Z363" s="616">
        <v>3000</v>
      </c>
      <c r="AA363" s="616">
        <v>5000</v>
      </c>
      <c r="AB363" s="616">
        <v>394000</v>
      </c>
      <c r="AD363" s="1110"/>
      <c r="AE363" s="1110"/>
      <c r="AF363" s="1110"/>
      <c r="AG363" s="1110"/>
    </row>
    <row r="364" spans="1:33">
      <c r="A364" s="727"/>
      <c r="B364" s="34" t="s">
        <v>268</v>
      </c>
      <c r="C364" s="731"/>
      <c r="D364" s="34"/>
      <c r="E364" s="34"/>
      <c r="F364" s="616"/>
      <c r="G364" s="616"/>
      <c r="H364" s="616"/>
      <c r="I364" s="616"/>
      <c r="J364" s="616"/>
      <c r="K364" s="616"/>
      <c r="L364" s="616"/>
      <c r="M364" s="616"/>
      <c r="N364" s="616"/>
      <c r="O364" s="616">
        <v>981</v>
      </c>
      <c r="P364" s="616">
        <v>98</v>
      </c>
      <c r="Q364" s="616">
        <v>19</v>
      </c>
      <c r="R364" s="616"/>
      <c r="S364" s="616">
        <v>4000</v>
      </c>
      <c r="T364" s="616">
        <v>4000</v>
      </c>
      <c r="U364" s="616">
        <v>4000</v>
      </c>
      <c r="V364" s="616">
        <v>4000</v>
      </c>
      <c r="W364" s="616">
        <v>5000</v>
      </c>
      <c r="X364" s="616">
        <v>3000</v>
      </c>
      <c r="Y364" s="616">
        <v>-1000</v>
      </c>
      <c r="Z364" s="616">
        <v>4000</v>
      </c>
      <c r="AA364" s="616">
        <v>-2000</v>
      </c>
      <c r="AB364" s="616">
        <v>0</v>
      </c>
      <c r="AD364" s="1110"/>
      <c r="AE364" s="1110"/>
      <c r="AF364" s="1143"/>
      <c r="AG364" s="1110"/>
    </row>
    <row r="365" spans="1:33">
      <c r="A365" s="727"/>
      <c r="B365" s="34" t="s">
        <v>269</v>
      </c>
      <c r="C365" s="731"/>
      <c r="D365" s="34"/>
      <c r="E365" s="34"/>
      <c r="F365" s="616">
        <v>-148985</v>
      </c>
      <c r="G365" s="616">
        <v>-62351</v>
      </c>
      <c r="H365" s="616">
        <v>-181480</v>
      </c>
      <c r="I365" s="616">
        <v>-31000</v>
      </c>
      <c r="J365" s="616">
        <v>-77230</v>
      </c>
      <c r="K365" s="616">
        <v>-17400</v>
      </c>
      <c r="L365" s="616">
        <v>-148830</v>
      </c>
      <c r="M365" s="616">
        <v>-879406</v>
      </c>
      <c r="N365" s="616">
        <v>-367893</v>
      </c>
      <c r="O365" s="616">
        <v>-297897</v>
      </c>
      <c r="P365" s="616">
        <v>-30000</v>
      </c>
      <c r="Q365" s="616">
        <v>-353492</v>
      </c>
      <c r="R365" s="616">
        <v>-153048</v>
      </c>
      <c r="S365" s="616">
        <v>-162000</v>
      </c>
      <c r="T365" s="616">
        <v>-167000</v>
      </c>
      <c r="U365" s="616">
        <v>-184000</v>
      </c>
      <c r="V365" s="616">
        <v>-558000</v>
      </c>
      <c r="W365" s="616">
        <v>-189000</v>
      </c>
      <c r="X365" s="616">
        <v>-186000</v>
      </c>
      <c r="Y365" s="616">
        <v>-201000</v>
      </c>
      <c r="Z365" s="616">
        <v>-251000</v>
      </c>
      <c r="AA365" s="616">
        <v>-280000</v>
      </c>
      <c r="AB365" s="616">
        <v>-274000</v>
      </c>
      <c r="AD365" s="1110"/>
      <c r="AE365" s="616"/>
      <c r="AF365" s="1143"/>
      <c r="AG365" s="1110"/>
    </row>
    <row r="366" spans="1:33" ht="13.5" thickBot="1">
      <c r="A366" s="727"/>
      <c r="B366" s="34"/>
      <c r="C366" s="731"/>
      <c r="D366" s="34"/>
      <c r="E366" s="34"/>
      <c r="F366" s="725" t="e">
        <v>#REF!</v>
      </c>
      <c r="G366" s="725" t="e">
        <v>#REF!</v>
      </c>
      <c r="H366" s="725" t="e">
        <v>#REF!</v>
      </c>
      <c r="I366" s="725" t="e">
        <v>#REF!</v>
      </c>
      <c r="J366" s="725" t="e">
        <v>#REF!</v>
      </c>
      <c r="K366" s="725" t="e">
        <v>#REF!</v>
      </c>
      <c r="L366" s="725" t="e">
        <v>#REF!</v>
      </c>
      <c r="M366" s="725" t="e">
        <v>#REF!</v>
      </c>
      <c r="N366" s="725">
        <v>451932</v>
      </c>
      <c r="O366" s="725">
        <v>457750</v>
      </c>
      <c r="P366" s="725">
        <v>643532</v>
      </c>
      <c r="Q366" s="725">
        <v>548000</v>
      </c>
      <c r="R366" s="725"/>
      <c r="S366" s="725">
        <v>3417610</v>
      </c>
      <c r="T366" s="725">
        <v>3536672</v>
      </c>
      <c r="U366" s="725">
        <v>3582000</v>
      </c>
      <c r="V366" s="725">
        <v>3171000</v>
      </c>
      <c r="W366" s="725">
        <v>2823000</v>
      </c>
      <c r="X366" s="725">
        <v>2756000</v>
      </c>
      <c r="Y366" s="725">
        <v>2727000</v>
      </c>
      <c r="Z366" s="725">
        <v>2782000</v>
      </c>
      <c r="AA366" s="725">
        <v>2620000</v>
      </c>
      <c r="AB366" s="725">
        <v>2926000</v>
      </c>
      <c r="AD366" s="1108"/>
      <c r="AE366" s="1108"/>
      <c r="AF366" s="1110"/>
      <c r="AG366" s="1110"/>
    </row>
    <row r="367" spans="1:33" ht="13.5" thickTop="1">
      <c r="A367" s="727"/>
      <c r="B367" s="34"/>
      <c r="C367" s="731"/>
      <c r="D367" s="185" t="s">
        <v>93</v>
      </c>
      <c r="E367" s="185"/>
      <c r="F367" s="455"/>
      <c r="G367" s="697" t="e">
        <v>#REF!</v>
      </c>
      <c r="H367" s="1043" t="e">
        <v>#REF!</v>
      </c>
      <c r="I367" s="1044" t="e">
        <v>#REF!</v>
      </c>
      <c r="J367" s="697" t="e">
        <v>#REF!</v>
      </c>
      <c r="K367" s="697" t="e">
        <v>#REF!</v>
      </c>
      <c r="L367" s="697" t="e">
        <v>#REF!</v>
      </c>
      <c r="M367" s="697" t="e">
        <v>#REF!</v>
      </c>
      <c r="N367" s="1042" t="e">
        <v>#REF!</v>
      </c>
      <c r="O367" s="697" t="e">
        <v>#REF!</v>
      </c>
      <c r="P367" s="697" t="e">
        <v>#REF!</v>
      </c>
      <c r="Q367" s="697" t="e">
        <v>#REF!</v>
      </c>
      <c r="R367" s="1115"/>
      <c r="S367" s="1045">
        <v>62</v>
      </c>
      <c r="T367" s="1045">
        <v>328</v>
      </c>
      <c r="U367" s="1115">
        <v>0</v>
      </c>
      <c r="V367" s="1115">
        <v>0</v>
      </c>
      <c r="W367" s="1045">
        <v>2000</v>
      </c>
      <c r="X367" s="1045">
        <v>22000</v>
      </c>
      <c r="Y367" s="1115">
        <v>0</v>
      </c>
      <c r="Z367" s="1115">
        <v>0</v>
      </c>
      <c r="AA367" s="1115">
        <v>0</v>
      </c>
      <c r="AB367" s="1045">
        <v>1000</v>
      </c>
      <c r="AD367" s="616"/>
      <c r="AE367" s="1110"/>
      <c r="AF367" s="1110"/>
      <c r="AG367" s="1110"/>
    </row>
    <row r="368" spans="1:33">
      <c r="A368" s="4"/>
      <c r="B368" s="4"/>
      <c r="C368" s="4"/>
      <c r="D368" s="4"/>
      <c r="E368" s="4"/>
      <c r="F368" s="4"/>
      <c r="G368" s="4"/>
      <c r="H368" s="4"/>
      <c r="I368" s="4"/>
      <c r="J368" s="4"/>
      <c r="K368" s="4"/>
      <c r="L368" s="4"/>
      <c r="M368" s="4"/>
      <c r="N368" s="4"/>
      <c r="O368" s="4"/>
      <c r="P368" s="4"/>
      <c r="Q368" s="4"/>
      <c r="R368" s="4"/>
      <c r="S368" s="4"/>
      <c r="T368" s="4"/>
      <c r="U368" s="4"/>
      <c r="V368" s="4"/>
      <c r="W368" s="4"/>
      <c r="X368" s="612" t="s">
        <v>1477</v>
      </c>
      <c r="Y368" s="4"/>
      <c r="Z368" s="4"/>
      <c r="AA368" s="4"/>
      <c r="AB368" s="4"/>
      <c r="AD368" s="616"/>
      <c r="AE368" s="1110"/>
      <c r="AF368" s="1110"/>
      <c r="AG368" s="1110"/>
    </row>
    <row r="369" spans="30:33">
      <c r="AD369" s="616"/>
      <c r="AE369" s="1110"/>
      <c r="AF369" s="1110"/>
      <c r="AG369" s="1110"/>
    </row>
    <row r="370" spans="30:33">
      <c r="AD370" s="616"/>
      <c r="AE370" s="1110"/>
      <c r="AF370" s="1110"/>
      <c r="AG370" s="1110"/>
    </row>
    <row r="371" spans="30:33">
      <c r="AD371" s="616"/>
      <c r="AE371" s="1110"/>
      <c r="AF371" s="1110"/>
      <c r="AG371" s="1110"/>
    </row>
    <row r="372" spans="30:33">
      <c r="AD372" s="616"/>
      <c r="AE372" s="1110"/>
      <c r="AF372" s="1110"/>
      <c r="AG372" s="1110"/>
    </row>
    <row r="373" spans="30:33">
      <c r="AD373" s="616"/>
      <c r="AE373" s="1110"/>
      <c r="AF373" s="1110"/>
      <c r="AG373" s="1110"/>
    </row>
    <row r="374" spans="30:33">
      <c r="AD374" s="616"/>
      <c r="AE374" s="1110"/>
      <c r="AF374" s="1110"/>
      <c r="AG374" s="1110"/>
    </row>
    <row r="375" spans="30:33">
      <c r="AD375" s="616"/>
      <c r="AE375" s="1110"/>
      <c r="AF375" s="1110"/>
      <c r="AG375" s="1110"/>
    </row>
    <row r="376" spans="30:33">
      <c r="AD376" s="616"/>
      <c r="AE376" s="1110"/>
      <c r="AF376" s="1110"/>
      <c r="AG376" s="1110"/>
    </row>
    <row r="377" spans="30:33">
      <c r="AD377" s="616"/>
      <c r="AE377" s="1110"/>
      <c r="AF377" s="1110"/>
      <c r="AG377" s="1110"/>
    </row>
    <row r="378" spans="30:33">
      <c r="AD378" s="616"/>
      <c r="AE378" s="1110"/>
      <c r="AF378" s="1110"/>
      <c r="AG378" s="1110"/>
    </row>
    <row r="379" spans="30:33">
      <c r="AD379" s="616"/>
      <c r="AE379" s="1110"/>
      <c r="AF379" s="1110"/>
      <c r="AG379" s="1110"/>
    </row>
    <row r="380" spans="30:33">
      <c r="AD380" s="616"/>
      <c r="AE380" s="1110"/>
      <c r="AF380" s="1110"/>
      <c r="AG380" s="1110"/>
    </row>
    <row r="381" spans="30:33">
      <c r="AD381" s="616"/>
      <c r="AE381" s="1110"/>
      <c r="AF381" s="1110"/>
      <c r="AG381" s="1110"/>
    </row>
    <row r="382" spans="30:33">
      <c r="AD382" s="616"/>
      <c r="AE382" s="1110"/>
      <c r="AF382" s="1110"/>
      <c r="AG382" s="1110"/>
    </row>
    <row r="383" spans="30:33">
      <c r="AD383" s="616"/>
      <c r="AE383" s="1110"/>
      <c r="AF383" s="1110"/>
      <c r="AG383" s="1110"/>
    </row>
    <row r="384" spans="30:33">
      <c r="AD384" s="616"/>
      <c r="AE384" s="1110"/>
      <c r="AF384" s="1110"/>
      <c r="AG384" s="1110"/>
    </row>
    <row r="385" spans="30:33">
      <c r="AD385" s="616"/>
      <c r="AE385" s="1110"/>
      <c r="AF385" s="1110"/>
      <c r="AG385" s="1110"/>
    </row>
    <row r="386" spans="30:33">
      <c r="AD386" s="616"/>
      <c r="AE386" s="1110"/>
      <c r="AF386" s="1110"/>
      <c r="AG386" s="1110"/>
    </row>
    <row r="387" spans="30:33">
      <c r="AD387" s="616"/>
      <c r="AE387" s="1110"/>
      <c r="AF387" s="1110"/>
      <c r="AG387" s="1110"/>
    </row>
    <row r="388" spans="30:33">
      <c r="AD388" s="616"/>
      <c r="AE388" s="1110"/>
      <c r="AF388" s="1110"/>
      <c r="AG388" s="1110"/>
    </row>
    <row r="389" spans="30:33">
      <c r="AD389" s="616"/>
      <c r="AE389" s="1110"/>
      <c r="AF389" s="1110"/>
      <c r="AG389" s="1110"/>
    </row>
    <row r="390" spans="30:33">
      <c r="AD390" s="616"/>
      <c r="AE390" s="1110"/>
      <c r="AF390" s="1110"/>
      <c r="AG390" s="1110"/>
    </row>
    <row r="391" spans="30:33">
      <c r="AD391" s="616"/>
      <c r="AE391" s="1110"/>
      <c r="AF391" s="1110"/>
      <c r="AG391" s="1110"/>
    </row>
    <row r="392" spans="30:33">
      <c r="AD392" s="616"/>
      <c r="AE392" s="1110"/>
      <c r="AF392" s="1110"/>
      <c r="AG392" s="1110"/>
    </row>
    <row r="393" spans="30:33">
      <c r="AD393" s="616"/>
      <c r="AE393" s="1110"/>
      <c r="AF393" s="1110"/>
      <c r="AG393" s="1110"/>
    </row>
    <row r="394" spans="30:33">
      <c r="AD394" s="616"/>
      <c r="AE394" s="1110"/>
      <c r="AF394" s="1110"/>
      <c r="AG394" s="1110"/>
    </row>
    <row r="395" spans="30:33">
      <c r="AD395" s="616"/>
      <c r="AE395" s="1110"/>
      <c r="AF395" s="1110"/>
      <c r="AG395" s="1110"/>
    </row>
    <row r="396" spans="30:33">
      <c r="AD396" s="616"/>
      <c r="AE396" s="1110"/>
      <c r="AF396" s="1110"/>
      <c r="AG396" s="1110"/>
    </row>
    <row r="397" spans="30:33">
      <c r="AD397" s="616"/>
      <c r="AE397" s="1110"/>
      <c r="AF397" s="1110"/>
      <c r="AG397" s="1110"/>
    </row>
    <row r="398" spans="30:33">
      <c r="AD398" s="616"/>
      <c r="AE398" s="1110"/>
      <c r="AF398" s="1110"/>
      <c r="AG398" s="1110"/>
    </row>
    <row r="399" spans="30:33">
      <c r="AD399" s="616"/>
      <c r="AE399" s="1110"/>
      <c r="AF399" s="1110"/>
      <c r="AG399" s="1110"/>
    </row>
    <row r="400" spans="30:33">
      <c r="AD400" s="616"/>
      <c r="AE400" s="1110"/>
      <c r="AF400" s="1110"/>
      <c r="AG400" s="1110"/>
    </row>
    <row r="401" spans="1:33">
      <c r="AD401" s="616"/>
      <c r="AE401" s="1110"/>
      <c r="AF401" s="1110"/>
      <c r="AG401" s="1110"/>
    </row>
    <row r="402" spans="1:33">
      <c r="AD402" s="616"/>
      <c r="AE402" s="1110"/>
      <c r="AF402" s="1110"/>
      <c r="AG402" s="1110"/>
    </row>
    <row r="403" spans="1:33">
      <c r="AD403" s="616"/>
      <c r="AE403" s="1110"/>
      <c r="AF403" s="1110"/>
      <c r="AG403" s="1110"/>
    </row>
    <row r="404" spans="1:33">
      <c r="AD404" s="616"/>
      <c r="AE404" s="1110"/>
      <c r="AF404" s="1110"/>
      <c r="AG404" s="1110"/>
    </row>
    <row r="405" spans="1:33">
      <c r="AD405" s="616"/>
      <c r="AE405" s="1110"/>
      <c r="AF405" s="1110"/>
      <c r="AG405" s="1110"/>
    </row>
    <row r="406" spans="1:33">
      <c r="AD406" s="616"/>
      <c r="AE406" s="1110"/>
      <c r="AF406" s="1110"/>
      <c r="AG406" s="1110"/>
    </row>
    <row r="407" spans="1:33">
      <c r="A407" s="727"/>
      <c r="B407" s="34"/>
      <c r="C407" s="731"/>
      <c r="D407" s="185"/>
      <c r="E407" s="185"/>
      <c r="F407" s="455"/>
      <c r="G407" s="697"/>
      <c r="H407" s="1145"/>
      <c r="I407" s="1145"/>
      <c r="J407" s="697"/>
      <c r="K407" s="697"/>
      <c r="L407" s="697"/>
      <c r="M407" s="697"/>
      <c r="N407" s="1145"/>
      <c r="O407" s="697"/>
      <c r="P407" s="697"/>
      <c r="Q407" s="697"/>
      <c r="R407" s="1146"/>
      <c r="S407" s="1116"/>
      <c r="T407" s="1116"/>
      <c r="U407" s="1116"/>
      <c r="V407" s="1116"/>
      <c r="W407" s="1115"/>
      <c r="X407" s="1116"/>
      <c r="Y407" s="1116"/>
      <c r="Z407" s="1116"/>
      <c r="AA407" s="1116"/>
      <c r="AB407" s="1151"/>
      <c r="AC407" s="1121"/>
      <c r="AD407" s="616"/>
      <c r="AE407" s="1110"/>
      <c r="AF407" s="1110"/>
      <c r="AG407" s="1110"/>
    </row>
    <row r="408" spans="1:33">
      <c r="A408" s="727"/>
      <c r="B408" s="34"/>
      <c r="C408" s="731"/>
      <c r="D408" s="185"/>
      <c r="E408" s="185"/>
      <c r="F408" s="455"/>
      <c r="G408" s="697"/>
      <c r="H408" s="1145"/>
      <c r="I408" s="1145"/>
      <c r="J408" s="697"/>
      <c r="K408" s="697"/>
      <c r="L408" s="697"/>
      <c r="M408" s="697"/>
      <c r="N408" s="1145"/>
      <c r="O408" s="697"/>
      <c r="P408" s="697"/>
      <c r="Q408" s="697"/>
      <c r="R408" s="1146"/>
      <c r="S408" s="1116"/>
      <c r="T408" s="1116"/>
      <c r="U408" s="1116"/>
      <c r="V408" s="1116"/>
      <c r="W408" s="1115"/>
      <c r="X408" s="1116"/>
      <c r="Y408" s="1116"/>
      <c r="Z408" s="1116"/>
      <c r="AA408" s="1116"/>
      <c r="AB408" s="1151"/>
      <c r="AC408" s="1121"/>
      <c r="AD408" s="616"/>
      <c r="AE408" s="1110"/>
      <c r="AF408" s="1110"/>
      <c r="AG408" s="1110"/>
    </row>
    <row r="409" spans="1:33">
      <c r="A409" s="727"/>
      <c r="B409" s="34"/>
      <c r="C409" s="731"/>
      <c r="D409" s="185"/>
      <c r="E409" s="185"/>
      <c r="F409" s="455"/>
      <c r="G409" s="697"/>
      <c r="H409" s="1145"/>
      <c r="I409" s="1145"/>
      <c r="J409" s="697"/>
      <c r="K409" s="697"/>
      <c r="L409" s="697"/>
      <c r="M409" s="697"/>
      <c r="N409" s="1145"/>
      <c r="O409" s="697"/>
      <c r="P409" s="697"/>
      <c r="Q409" s="697"/>
      <c r="R409" s="1146"/>
      <c r="S409" s="1116"/>
      <c r="T409" s="1116"/>
      <c r="U409" s="1116"/>
      <c r="V409" s="1116"/>
      <c r="W409" s="1115"/>
      <c r="X409" s="1116"/>
      <c r="Y409" s="1116"/>
      <c r="Z409" s="1116"/>
      <c r="AA409" s="1116"/>
      <c r="AB409" s="1151"/>
      <c r="AC409" s="1121"/>
      <c r="AD409" s="616"/>
      <c r="AE409" s="1110"/>
      <c r="AF409" s="1110"/>
      <c r="AG409" s="1110"/>
    </row>
    <row r="410" spans="1:33">
      <c r="A410" s="727"/>
      <c r="B410" s="34"/>
      <c r="C410" s="731"/>
      <c r="D410" s="185"/>
      <c r="E410" s="185"/>
      <c r="F410" s="455"/>
      <c r="G410" s="697"/>
      <c r="H410" s="1145"/>
      <c r="I410" s="1145"/>
      <c r="J410" s="697"/>
      <c r="K410" s="697"/>
      <c r="L410" s="697"/>
      <c r="M410" s="697"/>
      <c r="N410" s="1145"/>
      <c r="O410" s="697"/>
      <c r="P410" s="697"/>
      <c r="Q410" s="697"/>
      <c r="R410" s="1146"/>
      <c r="S410" s="1115"/>
      <c r="T410" s="1115"/>
      <c r="U410" s="1115"/>
      <c r="V410" s="1116"/>
      <c r="W410" s="1115"/>
      <c r="X410" s="1116"/>
      <c r="Y410" s="1116"/>
      <c r="Z410" s="1116"/>
      <c r="AA410" s="1116"/>
      <c r="AB410" s="1151"/>
      <c r="AC410" s="1121"/>
      <c r="AD410" s="616"/>
      <c r="AE410" s="1110"/>
      <c r="AF410" s="1110"/>
      <c r="AG410" s="1110"/>
    </row>
    <row r="411" spans="1:33">
      <c r="A411" s="727"/>
      <c r="B411" s="34"/>
      <c r="C411" s="731"/>
      <c r="D411" s="185"/>
      <c r="E411" s="185"/>
      <c r="F411" s="455"/>
      <c r="G411" s="697"/>
      <c r="H411" s="1145"/>
      <c r="I411" s="1145"/>
      <c r="J411" s="697"/>
      <c r="K411" s="697"/>
      <c r="L411" s="697"/>
      <c r="M411" s="697"/>
      <c r="N411" s="1145"/>
      <c r="O411" s="697"/>
      <c r="P411" s="697"/>
      <c r="Q411" s="697"/>
      <c r="R411" s="1146"/>
      <c r="S411" s="1115"/>
      <c r="T411" s="1115"/>
      <c r="U411" s="1115"/>
      <c r="V411" s="1115"/>
      <c r="W411" s="1115"/>
      <c r="X411" s="1116"/>
      <c r="Y411" s="1116"/>
      <c r="Z411" s="1116"/>
      <c r="AA411" s="1116"/>
      <c r="AB411" s="1115"/>
      <c r="AC411" s="1121"/>
      <c r="AD411" s="616"/>
      <c r="AE411" s="1110"/>
      <c r="AF411" s="1110"/>
      <c r="AG411" s="1110"/>
    </row>
    <row r="412" spans="1:33">
      <c r="A412" s="727"/>
      <c r="B412" s="34"/>
      <c r="C412" s="731"/>
      <c r="D412" s="185"/>
      <c r="E412" s="185"/>
      <c r="F412" s="455"/>
      <c r="G412" s="697"/>
      <c r="H412" s="1145"/>
      <c r="I412" s="1145"/>
      <c r="J412" s="697"/>
      <c r="K412" s="697"/>
      <c r="L412" s="697"/>
      <c r="M412" s="697"/>
      <c r="N412" s="1145"/>
      <c r="O412" s="697"/>
      <c r="P412" s="697"/>
      <c r="Q412" s="697"/>
      <c r="R412" s="1146"/>
      <c r="S412" s="1115"/>
      <c r="T412" s="1115"/>
      <c r="U412" s="1115"/>
      <c r="V412" s="1115"/>
      <c r="W412" s="1115"/>
      <c r="X412" s="1116"/>
      <c r="Y412" s="1116"/>
      <c r="Z412" s="1116"/>
      <c r="AA412" s="1116"/>
      <c r="AB412" s="1115"/>
      <c r="AC412" s="1121"/>
      <c r="AD412" s="616"/>
      <c r="AE412" s="1110"/>
      <c r="AF412" s="1110"/>
      <c r="AG412" s="1110"/>
    </row>
    <row r="413" spans="1:33">
      <c r="A413" s="727"/>
      <c r="B413" s="34"/>
      <c r="C413" s="731"/>
      <c r="D413" s="185"/>
      <c r="E413" s="185"/>
      <c r="F413" s="455"/>
      <c r="G413" s="697"/>
      <c r="H413" s="1145"/>
      <c r="I413" s="1145"/>
      <c r="J413" s="697"/>
      <c r="K413" s="697"/>
      <c r="L413" s="697"/>
      <c r="M413" s="697"/>
      <c r="N413" s="1145"/>
      <c r="O413" s="697"/>
      <c r="P413" s="697"/>
      <c r="Q413" s="697"/>
      <c r="R413" s="1146"/>
      <c r="S413" s="1115"/>
      <c r="T413" s="1115"/>
      <c r="U413" s="1115"/>
      <c r="V413" s="1115"/>
      <c r="W413" s="1115"/>
      <c r="X413" s="1116"/>
      <c r="Y413" s="1116"/>
      <c r="Z413" s="1116"/>
      <c r="AA413" s="1116"/>
      <c r="AB413" s="1115"/>
      <c r="AC413" s="1121"/>
      <c r="AD413" s="616"/>
      <c r="AE413" s="1110"/>
      <c r="AF413" s="1110"/>
      <c r="AG413" s="1110"/>
    </row>
    <row r="414" spans="1:33">
      <c r="A414" s="727"/>
      <c r="B414" s="34"/>
      <c r="C414" s="731"/>
      <c r="D414" s="185"/>
      <c r="E414" s="185"/>
      <c r="F414" s="455"/>
      <c r="G414" s="697"/>
      <c r="H414" s="1145"/>
      <c r="I414" s="1145"/>
      <c r="J414" s="697"/>
      <c r="K414" s="697"/>
      <c r="L414" s="697"/>
      <c r="M414" s="697"/>
      <c r="N414" s="1145"/>
      <c r="O414" s="697"/>
      <c r="P414" s="697"/>
      <c r="Q414" s="697"/>
      <c r="R414" s="1146"/>
      <c r="S414" s="1115"/>
      <c r="T414" s="1115"/>
      <c r="U414" s="1115"/>
      <c r="V414" s="1115"/>
      <c r="W414" s="1115"/>
      <c r="X414" s="1116"/>
      <c r="Y414" s="1116"/>
      <c r="Z414" s="1116"/>
      <c r="AA414" s="1116"/>
      <c r="AB414" s="1115"/>
      <c r="AC414" s="1121"/>
      <c r="AD414" s="616"/>
      <c r="AE414" s="1110"/>
      <c r="AF414" s="1110"/>
      <c r="AG414" s="1110"/>
    </row>
    <row r="415" spans="1:33">
      <c r="A415" s="727"/>
      <c r="B415" s="34"/>
      <c r="C415" s="731"/>
      <c r="D415" s="185"/>
      <c r="E415" s="185"/>
      <c r="F415" s="455"/>
      <c r="G415" s="697"/>
      <c r="H415" s="1145"/>
      <c r="I415" s="1145"/>
      <c r="J415" s="697"/>
      <c r="K415" s="697"/>
      <c r="L415" s="697"/>
      <c r="M415" s="697"/>
      <c r="N415" s="1145"/>
      <c r="O415" s="697"/>
      <c r="P415" s="697"/>
      <c r="Q415" s="697"/>
      <c r="R415" s="1146"/>
      <c r="S415" s="1115"/>
      <c r="T415" s="1115"/>
      <c r="U415" s="1115"/>
      <c r="V415" s="1115"/>
      <c r="W415" s="1115"/>
      <c r="X415" s="1116"/>
      <c r="Y415" s="1116"/>
      <c r="Z415" s="1116"/>
      <c r="AA415" s="1116"/>
      <c r="AB415" s="1115"/>
      <c r="AC415" s="1121"/>
      <c r="AD415" s="616"/>
      <c r="AE415" s="1110"/>
      <c r="AF415" s="1110"/>
      <c r="AG415" s="1110"/>
    </row>
    <row r="416" spans="1:33">
      <c r="A416" s="727"/>
      <c r="B416" s="34"/>
      <c r="C416" s="731"/>
      <c r="D416" s="185"/>
      <c r="E416" s="185"/>
      <c r="F416" s="455"/>
      <c r="G416" s="697"/>
      <c r="H416" s="1145"/>
      <c r="I416" s="1145"/>
      <c r="J416" s="697"/>
      <c r="K416" s="697"/>
      <c r="L416" s="697"/>
      <c r="M416" s="697"/>
      <c r="N416" s="1145"/>
      <c r="O416" s="697"/>
      <c r="P416" s="697"/>
      <c r="Q416" s="697"/>
      <c r="R416" s="1146"/>
      <c r="S416" s="1115"/>
      <c r="T416" s="1115"/>
      <c r="U416" s="1115"/>
      <c r="V416" s="1115"/>
      <c r="W416" s="1115"/>
      <c r="X416" s="1116"/>
      <c r="Y416" s="1116"/>
      <c r="Z416" s="1116"/>
      <c r="AA416" s="1116"/>
      <c r="AB416" s="1115"/>
      <c r="AC416" s="1121"/>
      <c r="AD416" s="616"/>
      <c r="AE416" s="1110"/>
      <c r="AF416" s="1110"/>
      <c r="AG416" s="1110"/>
    </row>
    <row r="417" spans="1:33">
      <c r="A417" s="727"/>
      <c r="B417" s="34"/>
      <c r="C417" s="731"/>
      <c r="D417" s="185"/>
      <c r="E417" s="185"/>
      <c r="F417" s="455"/>
      <c r="G417" s="697"/>
      <c r="H417" s="1145"/>
      <c r="I417" s="1145"/>
      <c r="J417" s="697"/>
      <c r="K417" s="697"/>
      <c r="L417" s="697"/>
      <c r="M417" s="697"/>
      <c r="N417" s="1145"/>
      <c r="O417" s="697"/>
      <c r="P417" s="697"/>
      <c r="Q417" s="697"/>
      <c r="R417" s="1146"/>
      <c r="S417" s="1115"/>
      <c r="T417" s="1115"/>
      <c r="U417" s="1115"/>
      <c r="V417" s="1115"/>
      <c r="W417" s="1115"/>
      <c r="X417" s="1116"/>
      <c r="Y417" s="1116"/>
      <c r="Z417" s="1116"/>
      <c r="AA417" s="1116"/>
      <c r="AB417" s="1115"/>
      <c r="AC417" s="1121"/>
      <c r="AD417" s="616"/>
      <c r="AE417" s="1110"/>
      <c r="AF417" s="1110"/>
      <c r="AG417" s="1110"/>
    </row>
    <row r="418" spans="1:33">
      <c r="A418" s="727"/>
      <c r="B418" s="34"/>
      <c r="C418" s="731"/>
      <c r="D418" s="185"/>
      <c r="E418" s="185"/>
      <c r="F418" s="455"/>
      <c r="G418" s="697"/>
      <c r="H418" s="1145"/>
      <c r="I418" s="1145"/>
      <c r="J418" s="697"/>
      <c r="K418" s="697"/>
      <c r="L418" s="697"/>
      <c r="M418" s="697"/>
      <c r="N418" s="1145"/>
      <c r="O418" s="697"/>
      <c r="P418" s="697"/>
      <c r="Q418" s="697"/>
      <c r="R418" s="1146"/>
      <c r="S418" s="1115"/>
      <c r="T418" s="1115"/>
      <c r="U418" s="1115"/>
      <c r="V418" s="1115"/>
      <c r="W418" s="1115"/>
      <c r="X418" s="1116"/>
      <c r="Y418" s="1116"/>
      <c r="Z418" s="1116"/>
      <c r="AA418" s="1116"/>
      <c r="AB418" s="1115"/>
      <c r="AC418" s="1121"/>
      <c r="AD418" s="616"/>
      <c r="AE418" s="1110"/>
      <c r="AF418" s="1110"/>
      <c r="AG418" s="1110"/>
    </row>
    <row r="419" spans="1:33">
      <c r="A419" s="727"/>
      <c r="B419" s="34"/>
      <c r="C419" s="731"/>
      <c r="D419" s="185"/>
      <c r="E419" s="185"/>
      <c r="F419" s="455"/>
      <c r="G419" s="697"/>
      <c r="H419" s="1145"/>
      <c r="I419" s="1145"/>
      <c r="J419" s="697"/>
      <c r="K419" s="697"/>
      <c r="L419" s="697"/>
      <c r="M419" s="697"/>
      <c r="N419" s="1145"/>
      <c r="O419" s="697"/>
      <c r="P419" s="697"/>
      <c r="Q419" s="697"/>
      <c r="R419" s="1146"/>
      <c r="S419" s="1115"/>
      <c r="T419" s="1115"/>
      <c r="U419" s="1115"/>
      <c r="V419" s="1115"/>
      <c r="W419" s="1115"/>
      <c r="X419" s="1115"/>
      <c r="Y419" s="1115"/>
      <c r="Z419" s="1115"/>
      <c r="AA419" s="1115"/>
      <c r="AB419" s="1115"/>
      <c r="AC419" s="1121"/>
      <c r="AD419" s="616"/>
      <c r="AE419" s="1110"/>
      <c r="AF419" s="1110"/>
      <c r="AG419" s="1110"/>
    </row>
    <row r="420" spans="1:33">
      <c r="A420" s="727"/>
      <c r="B420" s="34"/>
      <c r="C420" s="731"/>
      <c r="D420" s="185"/>
      <c r="E420" s="185"/>
      <c r="F420" s="455"/>
      <c r="G420" s="697"/>
      <c r="H420" s="1145"/>
      <c r="I420" s="1145"/>
      <c r="J420" s="697"/>
      <c r="K420" s="697"/>
      <c r="L420" s="697"/>
      <c r="M420" s="697"/>
      <c r="N420" s="1145"/>
      <c r="O420" s="697"/>
      <c r="P420" s="697"/>
      <c r="Q420" s="697"/>
      <c r="R420" s="1146"/>
      <c r="S420" s="1115"/>
      <c r="T420" s="1115"/>
      <c r="U420" s="1115"/>
      <c r="V420" s="1115"/>
      <c r="W420" s="1115"/>
      <c r="X420" s="1115"/>
      <c r="Y420" s="1115"/>
      <c r="Z420" s="1115"/>
      <c r="AA420" s="1115"/>
      <c r="AB420" s="1115"/>
      <c r="AC420" s="1121"/>
      <c r="AD420" s="616"/>
      <c r="AE420" s="1110"/>
      <c r="AF420" s="1110"/>
      <c r="AG420" s="1110"/>
    </row>
    <row r="421" spans="1:33">
      <c r="A421" s="727"/>
      <c r="B421" s="34"/>
      <c r="C421" s="731"/>
      <c r="D421" s="185"/>
      <c r="E421" s="185"/>
      <c r="F421" s="455"/>
      <c r="G421" s="697"/>
      <c r="H421" s="1145"/>
      <c r="I421" s="1145"/>
      <c r="J421" s="697"/>
      <c r="K421" s="697"/>
      <c r="L421" s="697"/>
      <c r="M421" s="697"/>
      <c r="N421" s="1145"/>
      <c r="O421" s="697"/>
      <c r="P421" s="697"/>
      <c r="Q421" s="697"/>
      <c r="R421" s="1146"/>
      <c r="S421" s="1115"/>
      <c r="T421" s="1115"/>
      <c r="U421" s="1115"/>
      <c r="V421" s="1115"/>
      <c r="W421" s="1115"/>
      <c r="X421" s="1115"/>
      <c r="Y421" s="1115"/>
      <c r="Z421" s="1115"/>
      <c r="AA421" s="1115"/>
      <c r="AB421" s="1115"/>
      <c r="AC421" s="1121"/>
      <c r="AD421" s="616"/>
      <c r="AE421" s="1110"/>
      <c r="AF421" s="1110"/>
      <c r="AG421" s="1110"/>
    </row>
    <row r="422" spans="1:33">
      <c r="A422" s="727"/>
      <c r="B422" s="34"/>
      <c r="C422" s="731"/>
      <c r="D422" s="185"/>
      <c r="E422" s="185"/>
      <c r="F422" s="455"/>
      <c r="G422" s="697"/>
      <c r="H422" s="1145"/>
      <c r="I422" s="1145"/>
      <c r="J422" s="697"/>
      <c r="K422" s="697"/>
      <c r="L422" s="697"/>
      <c r="M422" s="697"/>
      <c r="N422" s="1145"/>
      <c r="O422" s="697"/>
      <c r="P422" s="697"/>
      <c r="Q422" s="697"/>
      <c r="R422" s="1146"/>
      <c r="S422" s="1115"/>
      <c r="T422" s="1115"/>
      <c r="U422" s="1115"/>
      <c r="V422" s="1115"/>
      <c r="W422" s="1115"/>
      <c r="X422" s="1115"/>
      <c r="Y422" s="1115"/>
      <c r="Z422" s="1115"/>
      <c r="AA422" s="1115"/>
      <c r="AB422" s="1115"/>
      <c r="AC422" s="1121"/>
      <c r="AD422" s="616"/>
      <c r="AE422" s="1110"/>
      <c r="AF422" s="1110"/>
      <c r="AG422" s="1110"/>
    </row>
    <row r="423" spans="1:33">
      <c r="A423" s="727"/>
      <c r="B423" s="34"/>
      <c r="C423" s="731"/>
      <c r="D423" s="185"/>
      <c r="E423" s="185"/>
      <c r="F423" s="455"/>
      <c r="G423" s="697"/>
      <c r="H423" s="1145"/>
      <c r="I423" s="1145"/>
      <c r="J423" s="697"/>
      <c r="K423" s="697"/>
      <c r="L423" s="697"/>
      <c r="M423" s="697"/>
      <c r="N423" s="1145"/>
      <c r="O423" s="697"/>
      <c r="P423" s="697"/>
      <c r="Q423" s="697"/>
      <c r="R423" s="1146"/>
      <c r="S423" s="1115"/>
      <c r="T423" s="1115"/>
      <c r="U423" s="1115"/>
      <c r="V423" s="1115"/>
      <c r="W423" s="1115"/>
      <c r="X423" s="1115"/>
      <c r="Y423" s="1115"/>
      <c r="Z423" s="1115"/>
      <c r="AA423" s="1115"/>
      <c r="AB423" s="1115"/>
      <c r="AC423" s="1121"/>
      <c r="AD423" s="616"/>
      <c r="AE423" s="1110"/>
      <c r="AF423" s="1110"/>
      <c r="AG423" s="1110"/>
    </row>
    <row r="424" spans="1:33">
      <c r="A424" s="727"/>
      <c r="B424" s="34"/>
      <c r="C424" s="731"/>
      <c r="D424" s="185"/>
      <c r="E424" s="185"/>
      <c r="F424" s="455"/>
      <c r="G424" s="697"/>
      <c r="H424" s="1145"/>
      <c r="I424" s="1145"/>
      <c r="J424" s="697"/>
      <c r="K424" s="697"/>
      <c r="L424" s="697"/>
      <c r="M424" s="697"/>
      <c r="N424" s="1145"/>
      <c r="O424" s="697"/>
      <c r="P424" s="697"/>
      <c r="Q424" s="697"/>
      <c r="R424" s="1146"/>
      <c r="S424" s="1115"/>
      <c r="T424" s="1115"/>
      <c r="U424" s="1115"/>
      <c r="V424" s="1115"/>
      <c r="W424" s="1115"/>
      <c r="X424" s="1115"/>
      <c r="Y424" s="1115"/>
      <c r="Z424" s="1115"/>
      <c r="AA424" s="1115"/>
      <c r="AB424" s="1115"/>
      <c r="AC424" s="1121"/>
      <c r="AD424" s="616"/>
      <c r="AE424" s="1110"/>
      <c r="AF424" s="1110"/>
      <c r="AG424" s="1110"/>
    </row>
    <row r="425" spans="1:33">
      <c r="A425" s="727"/>
      <c r="B425" s="34"/>
      <c r="C425" s="731"/>
      <c r="D425" s="185"/>
      <c r="E425" s="185"/>
      <c r="F425" s="455"/>
      <c r="G425" s="697"/>
      <c r="H425" s="1145"/>
      <c r="I425" s="1145"/>
      <c r="J425" s="697"/>
      <c r="K425" s="697"/>
      <c r="L425" s="697"/>
      <c r="M425" s="697"/>
      <c r="N425" s="1145"/>
      <c r="O425" s="697"/>
      <c r="P425" s="697"/>
      <c r="Q425" s="697"/>
      <c r="R425" s="1146"/>
      <c r="S425" s="1115"/>
      <c r="T425" s="1115"/>
      <c r="U425" s="1115"/>
      <c r="V425" s="1115"/>
      <c r="W425" s="1115"/>
      <c r="X425" s="1115"/>
      <c r="Y425" s="1115"/>
      <c r="Z425" s="1115"/>
      <c r="AA425" s="1115"/>
      <c r="AB425" s="1115"/>
      <c r="AC425" s="1121"/>
      <c r="AD425" s="616"/>
      <c r="AE425" s="1110"/>
      <c r="AF425" s="1110"/>
      <c r="AG425" s="1110"/>
    </row>
    <row r="426" spans="1:33">
      <c r="A426" s="727"/>
      <c r="B426" s="34"/>
      <c r="C426" s="731"/>
      <c r="D426" s="185"/>
      <c r="E426" s="185"/>
      <c r="F426" s="455"/>
      <c r="G426" s="697"/>
      <c r="H426" s="1145"/>
      <c r="I426" s="1145"/>
      <c r="J426" s="697"/>
      <c r="K426" s="697"/>
      <c r="L426" s="697"/>
      <c r="M426" s="697"/>
      <c r="N426" s="1145"/>
      <c r="O426" s="697"/>
      <c r="P426" s="697"/>
      <c r="Q426" s="697"/>
      <c r="R426" s="1146"/>
      <c r="S426" s="1115"/>
      <c r="T426" s="1115"/>
      <c r="U426" s="1115"/>
      <c r="V426" s="1115"/>
      <c r="W426" s="1115"/>
      <c r="X426" s="1115"/>
      <c r="Y426" s="1115"/>
      <c r="Z426" s="1115"/>
      <c r="AA426" s="1115"/>
      <c r="AB426" s="1115"/>
      <c r="AC426" s="1121"/>
      <c r="AD426" s="616"/>
      <c r="AE426" s="1110"/>
      <c r="AF426" s="1110"/>
      <c r="AG426" s="1110"/>
    </row>
    <row r="427" spans="1:33">
      <c r="A427" s="727"/>
      <c r="B427" s="34"/>
      <c r="C427" s="731"/>
      <c r="D427" s="185"/>
      <c r="E427" s="185"/>
      <c r="F427" s="455"/>
      <c r="G427" s="697"/>
      <c r="H427" s="1145"/>
      <c r="I427" s="1145"/>
      <c r="J427" s="697"/>
      <c r="K427" s="697"/>
      <c r="L427" s="697"/>
      <c r="M427" s="697"/>
      <c r="N427" s="1145"/>
      <c r="O427" s="697"/>
      <c r="P427" s="697"/>
      <c r="Q427" s="697"/>
      <c r="R427" s="1146"/>
      <c r="S427" s="1115"/>
      <c r="T427" s="1115"/>
      <c r="U427" s="1115"/>
      <c r="V427" s="1115"/>
      <c r="W427" s="1115"/>
      <c r="X427" s="1115"/>
      <c r="Y427" s="1115"/>
      <c r="Z427" s="1115"/>
      <c r="AA427" s="1115"/>
      <c r="AB427" s="1115"/>
      <c r="AC427" s="1121"/>
      <c r="AD427" s="616"/>
      <c r="AE427" s="1110"/>
      <c r="AF427" s="1110"/>
      <c r="AG427" s="1110"/>
    </row>
    <row r="428" spans="1:33">
      <c r="A428" s="727"/>
      <c r="B428" s="34"/>
      <c r="C428" s="731"/>
      <c r="D428" s="185"/>
      <c r="E428" s="185"/>
      <c r="F428" s="455"/>
      <c r="G428" s="697"/>
      <c r="H428" s="1145"/>
      <c r="I428" s="1145"/>
      <c r="J428" s="697"/>
      <c r="K428" s="697"/>
      <c r="L428" s="697"/>
      <c r="M428" s="697"/>
      <c r="N428" s="1145"/>
      <c r="O428" s="697"/>
      <c r="P428" s="697"/>
      <c r="Q428" s="697"/>
      <c r="R428" s="1146"/>
      <c r="S428" s="1115"/>
      <c r="T428" s="1115"/>
      <c r="U428" s="1115"/>
      <c r="V428" s="1115"/>
      <c r="W428" s="1115"/>
      <c r="X428" s="1115"/>
      <c r="Y428" s="1115"/>
      <c r="Z428" s="1115"/>
      <c r="AA428" s="1115"/>
      <c r="AB428" s="1115"/>
      <c r="AC428" s="1121"/>
      <c r="AD428" s="616"/>
      <c r="AE428" s="1110"/>
      <c r="AF428" s="1110"/>
      <c r="AG428" s="1110"/>
    </row>
    <row r="429" spans="1:33">
      <c r="A429" s="727"/>
      <c r="B429" s="34"/>
      <c r="C429" s="731"/>
      <c r="D429" s="185"/>
      <c r="E429" s="185"/>
      <c r="F429" s="455"/>
      <c r="G429" s="697"/>
      <c r="H429" s="1145"/>
      <c r="I429" s="1145"/>
      <c r="J429" s="697"/>
      <c r="K429" s="697"/>
      <c r="L429" s="697"/>
      <c r="M429" s="697"/>
      <c r="N429" s="1145"/>
      <c r="O429" s="697"/>
      <c r="P429" s="697"/>
      <c r="Q429" s="697"/>
      <c r="R429" s="1146"/>
      <c r="S429" s="1115"/>
      <c r="T429" s="1115"/>
      <c r="U429" s="1115"/>
      <c r="V429" s="1115"/>
      <c r="W429" s="1115"/>
      <c r="X429" s="1115"/>
      <c r="Y429" s="1115"/>
      <c r="Z429" s="1115"/>
      <c r="AA429" s="1115"/>
      <c r="AB429" s="1115"/>
      <c r="AC429" s="1121"/>
      <c r="AD429" s="616"/>
      <c r="AE429" s="1110"/>
      <c r="AF429" s="1110"/>
      <c r="AG429" s="1110"/>
    </row>
    <row r="430" spans="1:33">
      <c r="A430" s="727"/>
      <c r="B430" s="34"/>
      <c r="C430" s="731"/>
      <c r="D430" s="185"/>
      <c r="E430" s="185"/>
      <c r="F430" s="455"/>
      <c r="G430" s="697"/>
      <c r="H430" s="1145"/>
      <c r="I430" s="1145"/>
      <c r="J430" s="697"/>
      <c r="K430" s="697"/>
      <c r="L430" s="697"/>
      <c r="M430" s="697"/>
      <c r="N430" s="1145"/>
      <c r="O430" s="697"/>
      <c r="P430" s="697"/>
      <c r="Q430" s="697"/>
      <c r="R430" s="1146"/>
      <c r="S430" s="1115"/>
      <c r="T430" s="1115"/>
      <c r="U430" s="1115"/>
      <c r="V430" s="1115"/>
      <c r="W430" s="1115"/>
      <c r="X430" s="1115"/>
      <c r="Y430" s="1115"/>
      <c r="Z430" s="1115"/>
      <c r="AA430" s="1115"/>
      <c r="AB430" s="1115"/>
      <c r="AC430" s="1121"/>
      <c r="AD430" s="616"/>
      <c r="AE430" s="1110"/>
      <c r="AF430" s="1110"/>
      <c r="AG430" s="1110"/>
    </row>
    <row r="431" spans="1:33">
      <c r="A431" s="727"/>
      <c r="B431" s="34"/>
      <c r="C431" s="731"/>
      <c r="D431" s="185"/>
      <c r="E431" s="185"/>
      <c r="F431" s="455"/>
      <c r="G431" s="697"/>
      <c r="H431" s="1145"/>
      <c r="I431" s="1145"/>
      <c r="J431" s="697"/>
      <c r="K431" s="697"/>
      <c r="L431" s="697"/>
      <c r="M431" s="697"/>
      <c r="N431" s="1145"/>
      <c r="O431" s="697"/>
      <c r="P431" s="697"/>
      <c r="Q431" s="697"/>
      <c r="R431" s="1146"/>
      <c r="S431" s="1115"/>
      <c r="T431" s="1115"/>
      <c r="U431" s="1115"/>
      <c r="V431" s="1115"/>
      <c r="W431" s="1115"/>
      <c r="X431" s="1115"/>
      <c r="Y431" s="1115"/>
      <c r="Z431" s="1115"/>
      <c r="AA431" s="1115"/>
      <c r="AB431" s="1115"/>
      <c r="AC431" s="1121"/>
      <c r="AD431" s="616"/>
      <c r="AE431" s="1110"/>
      <c r="AF431" s="1110"/>
      <c r="AG431" s="1110"/>
    </row>
    <row r="432" spans="1:33">
      <c r="A432" s="727"/>
      <c r="B432" s="34"/>
      <c r="C432" s="731"/>
      <c r="D432" s="185"/>
      <c r="E432" s="185"/>
      <c r="F432" s="455"/>
      <c r="G432" s="697"/>
      <c r="H432" s="1145"/>
      <c r="I432" s="1145"/>
      <c r="J432" s="697"/>
      <c r="K432" s="697"/>
      <c r="L432" s="697"/>
      <c r="M432" s="697"/>
      <c r="N432" s="1145"/>
      <c r="O432" s="697"/>
      <c r="P432" s="697"/>
      <c r="Q432" s="697"/>
      <c r="R432" s="1146"/>
      <c r="S432" s="1115"/>
      <c r="T432" s="1115"/>
      <c r="U432" s="1115"/>
      <c r="V432" s="1115"/>
      <c r="W432" s="1115"/>
      <c r="X432" s="1115"/>
      <c r="Y432" s="1115"/>
      <c r="Z432" s="1115"/>
      <c r="AA432" s="1115"/>
      <c r="AB432" s="1115"/>
      <c r="AC432" s="1121"/>
      <c r="AD432" s="616"/>
      <c r="AE432" s="1110"/>
      <c r="AF432" s="1110"/>
      <c r="AG432" s="1110"/>
    </row>
    <row r="433" spans="1:33">
      <c r="A433" s="727"/>
      <c r="B433" s="34"/>
      <c r="C433" s="731"/>
      <c r="D433" s="185"/>
      <c r="E433" s="185"/>
      <c r="F433" s="455"/>
      <c r="G433" s="697"/>
      <c r="H433" s="1145"/>
      <c r="I433" s="1145"/>
      <c r="J433" s="697"/>
      <c r="K433" s="697"/>
      <c r="L433" s="697"/>
      <c r="M433" s="697"/>
      <c r="N433" s="1145"/>
      <c r="O433" s="697"/>
      <c r="P433" s="697"/>
      <c r="Q433" s="697"/>
      <c r="R433" s="1146"/>
      <c r="S433" s="1115"/>
      <c r="T433" s="1115"/>
      <c r="U433" s="1115"/>
      <c r="V433" s="1115"/>
      <c r="W433" s="1115"/>
      <c r="X433" s="1115"/>
      <c r="Y433" s="1115"/>
      <c r="Z433" s="1115"/>
      <c r="AA433" s="1115"/>
      <c r="AB433" s="1115"/>
      <c r="AC433" s="1121"/>
      <c r="AD433" s="616"/>
      <c r="AE433" s="1110"/>
      <c r="AF433" s="1110"/>
      <c r="AG433" s="1110"/>
    </row>
    <row r="434" spans="1:33">
      <c r="A434" s="727"/>
      <c r="B434" s="34"/>
      <c r="C434" s="731"/>
      <c r="D434" s="185"/>
      <c r="E434" s="185"/>
      <c r="F434" s="455"/>
      <c r="G434" s="697"/>
      <c r="H434" s="1145"/>
      <c r="I434" s="1145"/>
      <c r="J434" s="697"/>
      <c r="K434" s="697"/>
      <c r="L434" s="697"/>
      <c r="M434" s="697"/>
      <c r="N434" s="1145"/>
      <c r="O434" s="697"/>
      <c r="P434" s="697"/>
      <c r="Q434" s="697"/>
      <c r="R434" s="1146"/>
      <c r="S434" s="1115"/>
      <c r="T434" s="1115"/>
      <c r="U434" s="1115"/>
      <c r="V434" s="1115"/>
      <c r="W434" s="1115"/>
      <c r="X434" s="1115"/>
      <c r="Y434" s="1115"/>
      <c r="Z434" s="1115"/>
      <c r="AA434" s="1115"/>
      <c r="AB434" s="1115"/>
      <c r="AC434" s="1121"/>
      <c r="AD434" s="616"/>
      <c r="AE434" s="1110"/>
      <c r="AF434" s="1110"/>
      <c r="AG434" s="1110"/>
    </row>
    <row r="435" spans="1:33">
      <c r="A435" s="727"/>
      <c r="B435" s="34"/>
      <c r="C435" s="731"/>
      <c r="D435" s="185"/>
      <c r="E435" s="185"/>
      <c r="F435" s="455"/>
      <c r="G435" s="697"/>
      <c r="H435" s="1145"/>
      <c r="I435" s="1145"/>
      <c r="J435" s="697"/>
      <c r="K435" s="697"/>
      <c r="L435" s="697"/>
      <c r="M435" s="697"/>
      <c r="N435" s="1145"/>
      <c r="O435" s="697"/>
      <c r="P435" s="697"/>
      <c r="Q435" s="697"/>
      <c r="R435" s="1146"/>
      <c r="S435" s="1115"/>
      <c r="T435" s="1115"/>
      <c r="U435" s="1115"/>
      <c r="V435" s="1115"/>
      <c r="W435" s="1115"/>
      <c r="X435" s="1115"/>
      <c r="Y435" s="1115"/>
      <c r="Z435" s="1115"/>
      <c r="AA435" s="1115"/>
      <c r="AB435" s="1115"/>
      <c r="AC435" s="1121"/>
      <c r="AD435" s="616"/>
      <c r="AE435" s="1110"/>
      <c r="AF435" s="1110"/>
      <c r="AG435" s="1110"/>
    </row>
    <row r="436" spans="1:33">
      <c r="A436" s="727"/>
      <c r="B436" s="34"/>
      <c r="C436" s="731"/>
      <c r="D436" s="185"/>
      <c r="E436" s="185"/>
      <c r="F436" s="455"/>
      <c r="G436" s="697"/>
      <c r="H436" s="1145"/>
      <c r="I436" s="1145"/>
      <c r="J436" s="697"/>
      <c r="K436" s="697"/>
      <c r="L436" s="697"/>
      <c r="M436" s="697"/>
      <c r="N436" s="1145"/>
      <c r="O436" s="697"/>
      <c r="P436" s="697"/>
      <c r="Q436" s="697"/>
      <c r="R436" s="1146"/>
      <c r="S436" s="1115"/>
      <c r="T436" s="1115"/>
      <c r="U436" s="1115"/>
      <c r="V436" s="1115"/>
      <c r="W436" s="1115"/>
      <c r="X436" s="1115"/>
      <c r="Y436" s="1115"/>
      <c r="Z436" s="1115"/>
      <c r="AA436" s="1115"/>
      <c r="AB436" s="1115"/>
      <c r="AC436" s="1121"/>
      <c r="AD436" s="616"/>
      <c r="AE436" s="1110"/>
      <c r="AF436" s="1110"/>
      <c r="AG436" s="1110"/>
    </row>
    <row r="437" spans="1:33">
      <c r="A437" s="727"/>
      <c r="B437" s="34"/>
      <c r="C437" s="731"/>
      <c r="D437" s="185"/>
      <c r="E437" s="185"/>
      <c r="F437" s="455"/>
      <c r="G437" s="697"/>
      <c r="H437" s="1145"/>
      <c r="I437" s="1145"/>
      <c r="J437" s="697"/>
      <c r="K437" s="697"/>
      <c r="L437" s="697"/>
      <c r="M437" s="697"/>
      <c r="N437" s="1145"/>
      <c r="O437" s="697"/>
      <c r="P437" s="697"/>
      <c r="Q437" s="697"/>
      <c r="R437" s="1146"/>
      <c r="S437" s="1115"/>
      <c r="T437" s="1115"/>
      <c r="U437" s="1115"/>
      <c r="V437" s="1115"/>
      <c r="W437" s="1115"/>
      <c r="X437" s="1115"/>
      <c r="Y437" s="1115"/>
      <c r="Z437" s="1115"/>
      <c r="AA437" s="1115"/>
      <c r="AB437" s="1115"/>
      <c r="AC437" s="1121"/>
      <c r="AD437" s="616"/>
      <c r="AE437" s="1110"/>
      <c r="AF437" s="1110"/>
      <c r="AG437" s="1110"/>
    </row>
    <row r="438" spans="1:33">
      <c r="A438" s="727"/>
      <c r="B438" s="34"/>
      <c r="C438" s="731"/>
      <c r="D438" s="185"/>
      <c r="E438" s="185"/>
      <c r="F438" s="455"/>
      <c r="G438" s="697"/>
      <c r="H438" s="1145"/>
      <c r="I438" s="1145"/>
      <c r="J438" s="697"/>
      <c r="K438" s="697"/>
      <c r="L438" s="697"/>
      <c r="M438" s="697"/>
      <c r="N438" s="1145"/>
      <c r="O438" s="697"/>
      <c r="P438" s="697"/>
      <c r="Q438" s="697"/>
      <c r="R438" s="1146"/>
      <c r="S438" s="1115"/>
      <c r="T438" s="1115"/>
      <c r="U438" s="1115"/>
      <c r="V438" s="1115"/>
      <c r="W438" s="1115"/>
      <c r="X438" s="1115"/>
      <c r="Y438" s="1115"/>
      <c r="Z438" s="1115"/>
      <c r="AA438" s="1115"/>
      <c r="AB438" s="1115"/>
      <c r="AC438" s="1121"/>
      <c r="AD438" s="616"/>
      <c r="AE438" s="1110"/>
      <c r="AF438" s="1110"/>
      <c r="AG438" s="1110"/>
    </row>
    <row r="439" spans="1:33">
      <c r="A439" s="727"/>
      <c r="B439" s="34"/>
      <c r="C439" s="731"/>
      <c r="D439" s="185"/>
      <c r="E439" s="185"/>
      <c r="F439" s="455"/>
      <c r="G439" s="697"/>
      <c r="H439" s="1145"/>
      <c r="I439" s="1145"/>
      <c r="J439" s="697"/>
      <c r="K439" s="697"/>
      <c r="L439" s="697"/>
      <c r="M439" s="697"/>
      <c r="N439" s="1145"/>
      <c r="O439" s="697"/>
      <c r="P439" s="697"/>
      <c r="Q439" s="697"/>
      <c r="R439" s="1146"/>
      <c r="S439" s="1115"/>
      <c r="T439" s="1115"/>
      <c r="U439" s="1115"/>
      <c r="V439" s="1115"/>
      <c r="W439" s="1115"/>
      <c r="X439" s="1115"/>
      <c r="Y439" s="1115"/>
      <c r="Z439" s="1115"/>
      <c r="AA439" s="1115"/>
      <c r="AB439" s="1115"/>
      <c r="AC439" s="1121"/>
      <c r="AD439" s="616"/>
      <c r="AE439" s="1110"/>
      <c r="AF439" s="1110"/>
      <c r="AG439" s="1110"/>
    </row>
    <row r="440" spans="1:33">
      <c r="A440" s="727"/>
      <c r="B440" s="34"/>
      <c r="C440" s="731"/>
      <c r="D440" s="185"/>
      <c r="E440" s="185"/>
      <c r="F440" s="455"/>
      <c r="G440" s="697"/>
      <c r="H440" s="1145"/>
      <c r="I440" s="1145"/>
      <c r="J440" s="697"/>
      <c r="K440" s="697"/>
      <c r="L440" s="697"/>
      <c r="M440" s="697"/>
      <c r="N440" s="1145"/>
      <c r="O440" s="697"/>
      <c r="P440" s="697"/>
      <c r="Q440" s="697"/>
      <c r="R440" s="1146"/>
      <c r="S440" s="1115"/>
      <c r="T440" s="1115"/>
      <c r="U440" s="1115"/>
      <c r="V440" s="1115"/>
      <c r="W440" s="1115"/>
      <c r="X440" s="1115"/>
      <c r="Y440" s="1115"/>
      <c r="Z440" s="1115"/>
      <c r="AA440" s="1115"/>
      <c r="AB440" s="1115"/>
      <c r="AC440" s="1121"/>
      <c r="AD440" s="616"/>
      <c r="AE440" s="1110"/>
      <c r="AF440" s="1110"/>
      <c r="AG440" s="1110"/>
    </row>
    <row r="441" spans="1:33">
      <c r="A441" s="727"/>
      <c r="B441" s="34"/>
      <c r="C441" s="731"/>
      <c r="D441" s="185"/>
      <c r="E441" s="185"/>
      <c r="F441" s="455"/>
      <c r="G441" s="697"/>
      <c r="H441" s="1145"/>
      <c r="I441" s="1145"/>
      <c r="J441" s="697"/>
      <c r="K441" s="697"/>
      <c r="L441" s="697"/>
      <c r="M441" s="697"/>
      <c r="N441" s="1145"/>
      <c r="O441" s="697"/>
      <c r="P441" s="697"/>
      <c r="Q441" s="697"/>
      <c r="R441" s="1115"/>
      <c r="S441" s="1115"/>
      <c r="T441" s="1115"/>
      <c r="U441" s="1115"/>
      <c r="V441" s="1115"/>
      <c r="W441" s="1115"/>
      <c r="X441" s="1115"/>
      <c r="Y441" s="1115"/>
      <c r="Z441" s="1115"/>
      <c r="AA441" s="1115"/>
      <c r="AB441" s="1115"/>
      <c r="AC441" s="1121"/>
      <c r="AD441" s="616"/>
      <c r="AE441" s="1110"/>
      <c r="AF441" s="1110"/>
      <c r="AG441" s="1110"/>
    </row>
    <row r="442" spans="1:33">
      <c r="A442" s="727"/>
      <c r="B442" s="34"/>
      <c r="C442" s="731"/>
      <c r="D442" s="185"/>
      <c r="E442" s="185"/>
      <c r="F442" s="455"/>
      <c r="G442" s="697"/>
      <c r="H442" s="1145"/>
      <c r="I442" s="1145"/>
      <c r="J442" s="697"/>
      <c r="K442" s="697"/>
      <c r="L442" s="697"/>
      <c r="M442" s="697"/>
      <c r="N442" s="1145"/>
      <c r="O442" s="697"/>
      <c r="P442" s="697"/>
      <c r="Q442" s="697"/>
      <c r="R442" s="1115"/>
      <c r="S442" s="1115"/>
      <c r="T442" s="1115"/>
      <c r="U442" s="1115"/>
      <c r="V442" s="1115"/>
      <c r="W442" s="1115"/>
      <c r="X442" s="1115"/>
      <c r="Y442" s="1115"/>
      <c r="Z442" s="1115"/>
      <c r="AA442" s="1115"/>
      <c r="AB442" s="1115"/>
      <c r="AC442" s="1121"/>
      <c r="AD442" s="616"/>
      <c r="AE442" s="1110"/>
      <c r="AF442" s="1110"/>
      <c r="AG442" s="1110"/>
    </row>
    <row r="443" spans="1:33">
      <c r="A443" s="727"/>
      <c r="B443" s="34"/>
      <c r="C443" s="731"/>
      <c r="D443" s="185"/>
      <c r="E443" s="185"/>
      <c r="F443" s="455"/>
      <c r="G443" s="697"/>
      <c r="H443" s="1145"/>
      <c r="I443" s="1145"/>
      <c r="J443" s="697"/>
      <c r="K443" s="697"/>
      <c r="L443" s="697"/>
      <c r="M443" s="697"/>
      <c r="N443" s="1145"/>
      <c r="O443" s="697"/>
      <c r="P443" s="697"/>
      <c r="Q443" s="697"/>
      <c r="R443" s="1115"/>
      <c r="S443" s="1115"/>
      <c r="T443" s="1115"/>
      <c r="U443" s="1115"/>
      <c r="V443" s="1115"/>
      <c r="W443" s="1115"/>
      <c r="X443" s="1115"/>
      <c r="Y443" s="1115"/>
      <c r="Z443" s="1115"/>
      <c r="AA443" s="1115"/>
      <c r="AB443" s="1115"/>
      <c r="AC443" s="1121"/>
      <c r="AD443" s="616"/>
      <c r="AE443" s="1110"/>
      <c r="AF443" s="1110"/>
      <c r="AG443" s="1110"/>
    </row>
    <row r="444" spans="1:33">
      <c r="A444" s="727"/>
      <c r="B444" s="34"/>
      <c r="C444" s="731"/>
      <c r="D444" s="185"/>
      <c r="E444" s="185"/>
      <c r="F444" s="455"/>
      <c r="G444" s="697"/>
      <c r="H444" s="1145"/>
      <c r="I444" s="1145"/>
      <c r="J444" s="697"/>
      <c r="K444" s="697"/>
      <c r="L444" s="697"/>
      <c r="M444" s="697"/>
      <c r="N444" s="1145"/>
      <c r="O444" s="697"/>
      <c r="P444" s="697"/>
      <c r="Q444" s="697"/>
      <c r="R444" s="1115"/>
      <c r="S444" s="1115"/>
      <c r="T444" s="1115"/>
      <c r="U444" s="1115"/>
      <c r="V444" s="1115"/>
      <c r="W444" s="1115"/>
      <c r="X444" s="1115"/>
      <c r="Y444" s="1115"/>
      <c r="Z444" s="1115"/>
      <c r="AA444" s="1115"/>
      <c r="AB444" s="1115"/>
      <c r="AC444" s="1121"/>
      <c r="AD444" s="616"/>
      <c r="AE444" s="1110"/>
      <c r="AF444" s="1110"/>
      <c r="AG444" s="1110"/>
    </row>
    <row r="445" spans="1:33">
      <c r="A445" s="727"/>
      <c r="B445" s="34"/>
      <c r="C445" s="731"/>
      <c r="D445" s="185"/>
      <c r="E445" s="185"/>
      <c r="F445" s="455"/>
      <c r="G445" s="697"/>
      <c r="H445" s="1145"/>
      <c r="I445" s="1145"/>
      <c r="J445" s="697"/>
      <c r="K445" s="697"/>
      <c r="L445" s="697"/>
      <c r="M445" s="697"/>
      <c r="N445" s="1145"/>
      <c r="O445" s="697"/>
      <c r="P445" s="697"/>
      <c r="Q445" s="697"/>
      <c r="R445" s="1115"/>
      <c r="S445" s="1115"/>
      <c r="T445" s="1115"/>
      <c r="U445" s="1115"/>
      <c r="V445" s="1115"/>
      <c r="W445" s="1115"/>
      <c r="X445" s="1115"/>
      <c r="Y445" s="1115"/>
      <c r="Z445" s="1115"/>
      <c r="AA445" s="1115"/>
      <c r="AB445" s="1115"/>
      <c r="AC445" s="1121"/>
      <c r="AD445" s="616"/>
      <c r="AE445" s="1110"/>
      <c r="AF445" s="1110"/>
      <c r="AG445" s="1110"/>
    </row>
    <row r="446" spans="1:33">
      <c r="A446" s="727"/>
      <c r="B446" s="34"/>
      <c r="C446" s="731"/>
      <c r="D446" s="185"/>
      <c r="E446" s="185"/>
      <c r="F446" s="455"/>
      <c r="G446" s="697"/>
      <c r="H446" s="1145"/>
      <c r="I446" s="1145"/>
      <c r="J446" s="697"/>
      <c r="K446" s="697"/>
      <c r="L446" s="697"/>
      <c r="M446" s="697"/>
      <c r="N446" s="1145"/>
      <c r="O446" s="697"/>
      <c r="P446" s="697"/>
      <c r="Q446" s="697"/>
      <c r="R446" s="1115"/>
      <c r="S446" s="1115"/>
      <c r="T446" s="1115"/>
      <c r="U446" s="1115"/>
      <c r="V446" s="1115"/>
      <c r="W446" s="1115"/>
      <c r="X446" s="1115"/>
      <c r="Y446" s="1115"/>
      <c r="Z446" s="1115"/>
      <c r="AA446" s="1115"/>
      <c r="AB446" s="1115"/>
      <c r="AC446" s="1121"/>
      <c r="AD446" s="616"/>
      <c r="AE446" s="1110"/>
      <c r="AF446" s="1110"/>
      <c r="AG446" s="1110"/>
    </row>
    <row r="447" spans="1:33">
      <c r="A447" s="727"/>
      <c r="B447" s="34"/>
      <c r="C447" s="731"/>
      <c r="D447" s="185"/>
      <c r="E447" s="185"/>
      <c r="F447" s="455"/>
      <c r="G447" s="697"/>
      <c r="H447" s="1145"/>
      <c r="I447" s="1145"/>
      <c r="J447" s="697"/>
      <c r="K447" s="697"/>
      <c r="L447" s="697"/>
      <c r="M447" s="697"/>
      <c r="N447" s="1145"/>
      <c r="O447" s="697"/>
      <c r="P447" s="697"/>
      <c r="Q447" s="697"/>
      <c r="R447" s="1115"/>
      <c r="S447" s="1115"/>
      <c r="T447" s="1115"/>
      <c r="U447" s="1115"/>
      <c r="V447" s="1115"/>
      <c r="W447" s="1115"/>
      <c r="X447" s="1115"/>
      <c r="Y447" s="1115"/>
      <c r="Z447" s="1115"/>
      <c r="AA447" s="1115"/>
      <c r="AB447" s="1115"/>
      <c r="AC447" s="1121"/>
      <c r="AD447" s="616"/>
      <c r="AE447" s="1110"/>
      <c r="AF447" s="1110"/>
      <c r="AG447" s="1110"/>
    </row>
    <row r="448" spans="1:33">
      <c r="A448" s="727"/>
      <c r="B448" s="34"/>
      <c r="C448" s="731"/>
      <c r="D448" s="185"/>
      <c r="E448" s="185"/>
      <c r="F448" s="455"/>
      <c r="G448" s="697"/>
      <c r="H448" s="1145"/>
      <c r="I448" s="1145"/>
      <c r="J448" s="697"/>
      <c r="K448" s="697"/>
      <c r="L448" s="697"/>
      <c r="M448" s="697"/>
      <c r="N448" s="1145"/>
      <c r="O448" s="697"/>
      <c r="P448" s="697"/>
      <c r="Q448" s="697"/>
      <c r="R448" s="1115"/>
      <c r="S448" s="1115"/>
      <c r="T448" s="1115"/>
      <c r="U448" s="1115"/>
      <c r="V448" s="1115"/>
      <c r="W448" s="1115"/>
      <c r="X448" s="1115"/>
      <c r="Y448" s="1115"/>
      <c r="Z448" s="1115"/>
      <c r="AA448" s="1115"/>
      <c r="AB448" s="1115"/>
      <c r="AC448" s="1121"/>
      <c r="AD448" s="616"/>
      <c r="AE448" s="1110"/>
      <c r="AF448" s="1110"/>
      <c r="AG448" s="1110"/>
    </row>
    <row r="449" spans="1:33">
      <c r="A449" s="727"/>
      <c r="B449" s="34"/>
      <c r="C449" s="731"/>
      <c r="D449" s="185"/>
      <c r="E449" s="185"/>
      <c r="F449" s="455"/>
      <c r="G449" s="697"/>
      <c r="H449" s="1145"/>
      <c r="I449" s="1145"/>
      <c r="J449" s="697"/>
      <c r="K449" s="697"/>
      <c r="L449" s="697"/>
      <c r="M449" s="697"/>
      <c r="N449" s="1145"/>
      <c r="O449" s="697"/>
      <c r="P449" s="697"/>
      <c r="Q449" s="697"/>
      <c r="R449" s="1115"/>
      <c r="S449" s="1115"/>
      <c r="T449" s="1115"/>
      <c r="U449" s="1115"/>
      <c r="V449" s="1115"/>
      <c r="W449" s="1115"/>
      <c r="X449" s="1115"/>
      <c r="Y449" s="1115"/>
      <c r="Z449" s="1115"/>
      <c r="AA449" s="1115"/>
      <c r="AB449" s="1115"/>
      <c r="AC449" s="1121"/>
      <c r="AD449" s="616"/>
      <c r="AE449" s="1110"/>
      <c r="AF449" s="1110"/>
      <c r="AG449" s="1110"/>
    </row>
    <row r="450" spans="1:33">
      <c r="A450" s="727"/>
      <c r="B450" s="34"/>
      <c r="C450" s="731"/>
      <c r="D450" s="185"/>
      <c r="E450" s="185"/>
      <c r="F450" s="455"/>
      <c r="G450" s="697"/>
      <c r="H450" s="1145"/>
      <c r="I450" s="1145"/>
      <c r="J450" s="697"/>
      <c r="K450" s="697"/>
      <c r="L450" s="697"/>
      <c r="M450" s="697"/>
      <c r="N450" s="1145"/>
      <c r="O450" s="697"/>
      <c r="P450" s="697"/>
      <c r="Q450" s="697"/>
      <c r="R450" s="1115"/>
      <c r="S450" s="1115"/>
      <c r="T450" s="1115"/>
      <c r="U450" s="1115"/>
      <c r="V450" s="1115"/>
      <c r="W450" s="1115"/>
      <c r="X450" s="1115"/>
      <c r="Y450" s="1115"/>
      <c r="Z450" s="1115"/>
      <c r="AA450" s="1115"/>
      <c r="AB450" s="1115"/>
      <c r="AC450" s="1121"/>
      <c r="AD450" s="616"/>
      <c r="AE450" s="1110"/>
      <c r="AF450" s="1110"/>
      <c r="AG450" s="1110"/>
    </row>
    <row r="451" spans="1:33">
      <c r="A451" s="727"/>
      <c r="B451" s="34"/>
      <c r="C451" s="731"/>
      <c r="D451" s="185"/>
      <c r="E451" s="185"/>
      <c r="F451" s="455"/>
      <c r="G451" s="697"/>
      <c r="H451" s="1145"/>
      <c r="I451" s="1145"/>
      <c r="J451" s="697"/>
      <c r="K451" s="697"/>
      <c r="L451" s="697"/>
      <c r="M451" s="697"/>
      <c r="N451" s="1145"/>
      <c r="O451" s="697"/>
      <c r="P451" s="697"/>
      <c r="Q451" s="697"/>
      <c r="R451" s="1115"/>
      <c r="S451" s="1115"/>
      <c r="T451" s="1115"/>
      <c r="U451" s="1115"/>
      <c r="V451" s="1115"/>
      <c r="W451" s="1115"/>
      <c r="X451" s="1115"/>
      <c r="Y451" s="1115"/>
      <c r="Z451" s="1115"/>
      <c r="AA451" s="1115"/>
      <c r="AB451" s="1115"/>
      <c r="AC451" s="1121"/>
      <c r="AD451" s="616"/>
      <c r="AE451" s="1110"/>
      <c r="AF451" s="1110"/>
      <c r="AG451" s="1110"/>
    </row>
    <row r="452" spans="1:33">
      <c r="A452" s="727"/>
      <c r="B452" s="34"/>
      <c r="C452" s="731"/>
      <c r="D452" s="185"/>
      <c r="E452" s="185"/>
      <c r="F452" s="455"/>
      <c r="G452" s="697"/>
      <c r="H452" s="1145"/>
      <c r="I452" s="1145"/>
      <c r="J452" s="697"/>
      <c r="K452" s="697"/>
      <c r="L452" s="697"/>
      <c r="M452" s="697"/>
      <c r="N452" s="1145"/>
      <c r="O452" s="697"/>
      <c r="P452" s="697"/>
      <c r="Q452" s="697"/>
      <c r="R452" s="1115"/>
      <c r="S452" s="1115"/>
      <c r="T452" s="1115"/>
      <c r="U452" s="1115"/>
      <c r="V452" s="1115"/>
      <c r="W452" s="1115"/>
      <c r="X452" s="1115"/>
      <c r="Y452" s="1115"/>
      <c r="Z452" s="1115"/>
      <c r="AA452" s="1115"/>
      <c r="AB452" s="1115"/>
      <c r="AC452" s="1121"/>
      <c r="AD452" s="616"/>
      <c r="AE452" s="1110"/>
      <c r="AF452" s="1110"/>
      <c r="AG452" s="1110"/>
    </row>
    <row r="453" spans="1:33">
      <c r="A453" s="727"/>
      <c r="B453" s="34"/>
      <c r="C453" s="731"/>
      <c r="D453" s="185"/>
      <c r="E453" s="185"/>
      <c r="F453" s="455"/>
      <c r="G453" s="697"/>
      <c r="H453" s="1145"/>
      <c r="I453" s="1145"/>
      <c r="J453" s="697"/>
      <c r="K453" s="697"/>
      <c r="L453" s="697"/>
      <c r="M453" s="697"/>
      <c r="N453" s="1145"/>
      <c r="O453" s="697"/>
      <c r="P453" s="697"/>
      <c r="Q453" s="697"/>
      <c r="R453" s="1115"/>
      <c r="S453" s="1115"/>
      <c r="T453" s="1115"/>
      <c r="U453" s="1115"/>
      <c r="V453" s="1115"/>
      <c r="W453" s="1115"/>
      <c r="X453" s="1115"/>
      <c r="Y453" s="1115"/>
      <c r="Z453" s="1115"/>
      <c r="AA453" s="1115"/>
      <c r="AB453" s="1115"/>
      <c r="AC453" s="1121"/>
      <c r="AD453" s="616"/>
      <c r="AE453" s="1110"/>
      <c r="AF453" s="1110"/>
      <c r="AG453" s="1110"/>
    </row>
    <row r="454" spans="1:33">
      <c r="A454" s="727"/>
      <c r="B454" s="34"/>
      <c r="C454" s="731"/>
      <c r="D454" s="185"/>
      <c r="E454" s="185"/>
      <c r="F454" s="455"/>
      <c r="G454" s="697"/>
      <c r="H454" s="1145"/>
      <c r="I454" s="1145"/>
      <c r="J454" s="697"/>
      <c r="K454" s="697"/>
      <c r="L454" s="697"/>
      <c r="M454" s="697"/>
      <c r="N454" s="1145"/>
      <c r="O454" s="697"/>
      <c r="P454" s="697"/>
      <c r="Q454" s="697"/>
      <c r="R454" s="1115"/>
      <c r="S454" s="1115"/>
      <c r="T454" s="1115"/>
      <c r="U454" s="1115"/>
      <c r="V454" s="1115"/>
      <c r="W454" s="1115"/>
      <c r="X454" s="1115"/>
      <c r="Y454" s="1115"/>
      <c r="Z454" s="1115"/>
      <c r="AA454" s="1115"/>
      <c r="AB454" s="1115"/>
      <c r="AC454" s="1121"/>
      <c r="AD454" s="616"/>
      <c r="AE454" s="1110"/>
      <c r="AF454" s="1110"/>
      <c r="AG454" s="1110"/>
    </row>
    <row r="455" spans="1:33">
      <c r="A455" s="727"/>
      <c r="B455" s="34"/>
      <c r="C455" s="731"/>
      <c r="D455" s="185"/>
      <c r="E455" s="185"/>
      <c r="F455" s="455"/>
      <c r="G455" s="697"/>
      <c r="H455" s="1145"/>
      <c r="I455" s="1145"/>
      <c r="J455" s="697"/>
      <c r="K455" s="697"/>
      <c r="L455" s="697"/>
      <c r="M455" s="697"/>
      <c r="N455" s="1145"/>
      <c r="O455" s="697"/>
      <c r="P455" s="697"/>
      <c r="Q455" s="697"/>
      <c r="R455" s="1115"/>
      <c r="S455" s="1115"/>
      <c r="T455" s="1115"/>
      <c r="U455" s="1115"/>
      <c r="V455" s="1115"/>
      <c r="W455" s="1115"/>
      <c r="X455" s="1115"/>
      <c r="Y455" s="1115"/>
      <c r="Z455" s="1115"/>
      <c r="AA455" s="1115"/>
      <c r="AB455" s="1115"/>
      <c r="AC455" s="1121"/>
      <c r="AD455" s="616"/>
      <c r="AE455" s="1110"/>
      <c r="AF455" s="1110"/>
      <c r="AG455" s="1110"/>
    </row>
    <row r="456" spans="1:33">
      <c r="A456" s="727"/>
      <c r="B456" s="34"/>
      <c r="C456" s="731"/>
      <c r="D456" s="185"/>
      <c r="E456" s="185"/>
      <c r="F456" s="455"/>
      <c r="G456" s="697"/>
      <c r="H456" s="1145"/>
      <c r="I456" s="1145"/>
      <c r="J456" s="697"/>
      <c r="K456" s="697"/>
      <c r="L456" s="697"/>
      <c r="M456" s="697"/>
      <c r="N456" s="1145"/>
      <c r="O456" s="697"/>
      <c r="P456" s="697"/>
      <c r="Q456" s="697"/>
      <c r="R456" s="1115"/>
      <c r="S456" s="1115"/>
      <c r="T456" s="1115"/>
      <c r="U456" s="1115"/>
      <c r="V456" s="1115"/>
      <c r="W456" s="1115"/>
      <c r="X456" s="1115"/>
      <c r="Y456" s="1115"/>
      <c r="Z456" s="1115"/>
      <c r="AA456" s="1115"/>
      <c r="AB456" s="1115"/>
      <c r="AC456" s="1121"/>
      <c r="AD456" s="616"/>
      <c r="AE456" s="1110"/>
      <c r="AF456" s="1110"/>
      <c r="AG456" s="1110"/>
    </row>
    <row r="457" spans="1:33">
      <c r="A457" s="727"/>
      <c r="B457" s="34"/>
      <c r="C457" s="731"/>
      <c r="D457" s="185"/>
      <c r="E457" s="185"/>
      <c r="F457" s="455"/>
      <c r="G457" s="697"/>
      <c r="H457" s="1145"/>
      <c r="I457" s="1145"/>
      <c r="J457" s="697"/>
      <c r="K457" s="697"/>
      <c r="L457" s="697"/>
      <c r="M457" s="697"/>
      <c r="N457" s="1145"/>
      <c r="O457" s="697"/>
      <c r="P457" s="697"/>
      <c r="Q457" s="697"/>
      <c r="R457" s="1115"/>
      <c r="S457" s="1115"/>
      <c r="T457" s="1115"/>
      <c r="U457" s="1115"/>
      <c r="V457" s="1115"/>
      <c r="W457" s="1115"/>
      <c r="X457" s="1115"/>
      <c r="Y457" s="1115"/>
      <c r="Z457" s="1115"/>
      <c r="AA457" s="1115"/>
      <c r="AB457" s="1115"/>
      <c r="AC457" s="1121"/>
      <c r="AD457" s="616"/>
      <c r="AE457" s="1110"/>
      <c r="AF457" s="1110"/>
      <c r="AG457" s="1110"/>
    </row>
    <row r="458" spans="1:33">
      <c r="A458" s="727"/>
      <c r="B458" s="34"/>
      <c r="C458" s="731"/>
      <c r="D458" s="185"/>
      <c r="E458" s="185"/>
      <c r="F458" s="455"/>
      <c r="G458" s="697"/>
      <c r="H458" s="1145"/>
      <c r="I458" s="1145"/>
      <c r="J458" s="697"/>
      <c r="K458" s="697"/>
      <c r="L458" s="697"/>
      <c r="M458" s="697"/>
      <c r="N458" s="1145"/>
      <c r="O458" s="697"/>
      <c r="P458" s="697"/>
      <c r="Q458" s="697"/>
      <c r="R458" s="1115"/>
      <c r="S458" s="1115"/>
      <c r="T458" s="1115"/>
      <c r="U458" s="1115"/>
      <c r="V458" s="1115"/>
      <c r="W458" s="1115"/>
      <c r="X458" s="1115"/>
      <c r="Y458" s="1115"/>
      <c r="Z458" s="1115"/>
      <c r="AA458" s="1115"/>
      <c r="AB458" s="1115"/>
      <c r="AC458" s="1121"/>
      <c r="AD458" s="616"/>
      <c r="AE458" s="1110"/>
      <c r="AF458" s="1110"/>
      <c r="AG458" s="1110"/>
    </row>
    <row r="459" spans="1:33">
      <c r="A459" s="727"/>
      <c r="B459" s="34"/>
      <c r="C459" s="731"/>
      <c r="D459" s="185"/>
      <c r="E459" s="185"/>
      <c r="F459" s="455"/>
      <c r="G459" s="697"/>
      <c r="H459" s="1145"/>
      <c r="I459" s="1145"/>
      <c r="J459" s="697"/>
      <c r="K459" s="697"/>
      <c r="L459" s="697"/>
      <c r="M459" s="697"/>
      <c r="N459" s="1145"/>
      <c r="O459" s="697"/>
      <c r="P459" s="697"/>
      <c r="Q459" s="697"/>
      <c r="R459" s="1115"/>
      <c r="S459" s="1115"/>
      <c r="T459" s="1115"/>
      <c r="U459" s="1115"/>
      <c r="V459" s="1115"/>
      <c r="W459" s="1115"/>
      <c r="X459" s="1115"/>
      <c r="Y459" s="1115"/>
      <c r="Z459" s="1115"/>
      <c r="AA459" s="1115"/>
      <c r="AB459" s="1115"/>
      <c r="AC459" s="1121"/>
      <c r="AD459" s="616"/>
      <c r="AE459" s="1110"/>
      <c r="AF459" s="1110"/>
      <c r="AG459" s="1110"/>
    </row>
    <row r="460" spans="1:33">
      <c r="A460" s="727"/>
      <c r="B460" s="34"/>
      <c r="C460" s="731"/>
      <c r="D460" s="185"/>
      <c r="E460" s="185"/>
      <c r="F460" s="455"/>
      <c r="G460" s="697"/>
      <c r="H460" s="1145"/>
      <c r="I460" s="1145"/>
      <c r="J460" s="697"/>
      <c r="K460" s="697"/>
      <c r="L460" s="697"/>
      <c r="M460" s="697"/>
      <c r="N460" s="1145"/>
      <c r="O460" s="697"/>
      <c r="P460" s="697"/>
      <c r="Q460" s="697"/>
      <c r="R460" s="1115"/>
      <c r="S460" s="1115"/>
      <c r="T460" s="1115"/>
      <c r="U460" s="1115"/>
      <c r="V460" s="1115"/>
      <c r="W460" s="1115"/>
      <c r="X460" s="1115"/>
      <c r="Y460" s="1115"/>
      <c r="Z460" s="1115"/>
      <c r="AA460" s="1115"/>
      <c r="AB460" s="1115"/>
      <c r="AC460" s="1121"/>
      <c r="AD460" s="616"/>
      <c r="AE460" s="1110"/>
      <c r="AF460" s="1110"/>
      <c r="AG460" s="1110"/>
    </row>
    <row r="461" spans="1:33">
      <c r="A461" s="727"/>
      <c r="B461" s="34"/>
      <c r="C461" s="731"/>
      <c r="D461" s="185"/>
      <c r="E461" s="185"/>
      <c r="F461" s="455"/>
      <c r="G461" s="697"/>
      <c r="H461" s="1145"/>
      <c r="I461" s="1145"/>
      <c r="J461" s="697"/>
      <c r="K461" s="697"/>
      <c r="L461" s="697"/>
      <c r="M461" s="697"/>
      <c r="N461" s="1145"/>
      <c r="O461" s="697"/>
      <c r="P461" s="697"/>
      <c r="Q461" s="697"/>
      <c r="R461" s="1115"/>
      <c r="S461" s="1115"/>
      <c r="T461" s="1115"/>
      <c r="U461" s="1115"/>
      <c r="V461" s="1115"/>
      <c r="W461" s="1115"/>
      <c r="X461" s="1115"/>
      <c r="Y461" s="1115"/>
      <c r="Z461" s="1115"/>
      <c r="AA461" s="1115"/>
      <c r="AB461" s="1115"/>
      <c r="AC461" s="1121"/>
      <c r="AD461" s="616"/>
      <c r="AE461" s="1110"/>
      <c r="AF461" s="1110"/>
      <c r="AG461" s="1110"/>
    </row>
    <row r="462" spans="1:33">
      <c r="A462" s="727"/>
      <c r="B462" s="34"/>
      <c r="C462" s="731"/>
      <c r="D462" s="185"/>
      <c r="E462" s="185"/>
      <c r="F462" s="455"/>
      <c r="G462" s="697"/>
      <c r="H462" s="1145"/>
      <c r="I462" s="1145"/>
      <c r="J462" s="697"/>
      <c r="K462" s="697"/>
      <c r="L462" s="697"/>
      <c r="M462" s="697"/>
      <c r="N462" s="1145"/>
      <c r="O462" s="697"/>
      <c r="P462" s="697"/>
      <c r="Q462" s="697"/>
      <c r="R462" s="1115"/>
      <c r="S462" s="1115"/>
      <c r="T462" s="1115"/>
      <c r="U462" s="1115"/>
      <c r="V462" s="1115"/>
      <c r="W462" s="1115"/>
      <c r="X462" s="1115"/>
      <c r="Y462" s="1115"/>
      <c r="Z462" s="1115"/>
      <c r="AA462" s="1115"/>
      <c r="AB462" s="1115"/>
      <c r="AC462" s="1121"/>
      <c r="AD462" s="616"/>
      <c r="AE462" s="1110"/>
      <c r="AF462" s="1110"/>
      <c r="AG462" s="1110"/>
    </row>
    <row r="463" spans="1:33">
      <c r="A463" s="727"/>
      <c r="B463" s="34"/>
      <c r="C463" s="731"/>
      <c r="D463" s="185"/>
      <c r="E463" s="185"/>
      <c r="F463" s="455"/>
      <c r="G463" s="697"/>
      <c r="H463" s="1145"/>
      <c r="I463" s="1145"/>
      <c r="J463" s="697"/>
      <c r="K463" s="697"/>
      <c r="L463" s="697"/>
      <c r="M463" s="697"/>
      <c r="N463" s="1145"/>
      <c r="O463" s="697"/>
      <c r="P463" s="697"/>
      <c r="Q463" s="697"/>
      <c r="R463" s="1115"/>
      <c r="S463" s="1115"/>
      <c r="T463" s="1115"/>
      <c r="U463" s="1115"/>
      <c r="V463" s="1115"/>
      <c r="W463" s="1115"/>
      <c r="X463" s="1115"/>
      <c r="Y463" s="1115"/>
      <c r="Z463" s="1115"/>
      <c r="AA463" s="1115"/>
      <c r="AB463" s="1115"/>
      <c r="AC463" s="1121"/>
      <c r="AD463" s="616"/>
      <c r="AE463" s="1110"/>
      <c r="AF463" s="1110"/>
      <c r="AG463" s="1110"/>
    </row>
    <row r="464" spans="1:33">
      <c r="A464" s="727"/>
      <c r="B464" s="34"/>
      <c r="C464" s="731"/>
      <c r="D464" s="185"/>
      <c r="E464" s="185"/>
      <c r="F464" s="455"/>
      <c r="G464" s="697"/>
      <c r="H464" s="1145"/>
      <c r="I464" s="1145"/>
      <c r="J464" s="697"/>
      <c r="K464" s="697"/>
      <c r="L464" s="697"/>
      <c r="M464" s="697"/>
      <c r="N464" s="1145"/>
      <c r="O464" s="697"/>
      <c r="P464" s="697"/>
      <c r="Q464" s="697"/>
      <c r="R464" s="1115"/>
      <c r="S464" s="1115"/>
      <c r="T464" s="1115"/>
      <c r="U464" s="1115"/>
      <c r="V464" s="1115"/>
      <c r="W464" s="1115"/>
      <c r="X464" s="1115"/>
      <c r="Y464" s="1115"/>
      <c r="Z464" s="1115"/>
      <c r="AA464" s="1115"/>
      <c r="AB464" s="1115"/>
      <c r="AC464" s="1121"/>
      <c r="AD464" s="616"/>
      <c r="AE464" s="1110"/>
      <c r="AF464" s="1110"/>
      <c r="AG464" s="1110"/>
    </row>
    <row r="465" spans="1:33">
      <c r="A465" s="727"/>
      <c r="B465" s="34"/>
      <c r="C465" s="731"/>
      <c r="D465" s="185"/>
      <c r="E465" s="185"/>
      <c r="F465" s="455"/>
      <c r="G465" s="697"/>
      <c r="H465" s="1145"/>
      <c r="I465" s="1145"/>
      <c r="J465" s="697"/>
      <c r="K465" s="697"/>
      <c r="L465" s="697"/>
      <c r="M465" s="697"/>
      <c r="N465" s="1145"/>
      <c r="O465" s="697"/>
      <c r="P465" s="697"/>
      <c r="Q465" s="697"/>
      <c r="R465" s="1115"/>
      <c r="S465" s="1115"/>
      <c r="T465" s="1115"/>
      <c r="U465" s="1115"/>
      <c r="V465" s="1115"/>
      <c r="W465" s="1115"/>
      <c r="X465" s="1115"/>
      <c r="Y465" s="1115"/>
      <c r="Z465" s="1115"/>
      <c r="AA465" s="1115"/>
      <c r="AB465" s="1115"/>
      <c r="AC465" s="1121"/>
      <c r="AD465" s="616"/>
      <c r="AE465" s="1110"/>
      <c r="AF465" s="1110"/>
      <c r="AG465" s="1110"/>
    </row>
    <row r="466" spans="1:33">
      <c r="A466" s="727"/>
      <c r="B466" s="34"/>
      <c r="C466" s="731"/>
      <c r="D466" s="185"/>
      <c r="E466" s="185"/>
      <c r="F466" s="34"/>
      <c r="G466" s="45"/>
      <c r="H466" s="125"/>
      <c r="I466" s="125"/>
      <c r="J466" s="45"/>
      <c r="K466" s="45"/>
      <c r="L466" s="45"/>
      <c r="M466" s="45"/>
      <c r="N466" s="125"/>
      <c r="O466" s="45"/>
      <c r="P466" s="45"/>
      <c r="Q466" s="45"/>
      <c r="R466" s="45"/>
      <c r="S466" s="45"/>
      <c r="T466" s="45"/>
      <c r="U466" s="45"/>
      <c r="V466" s="45"/>
      <c r="W466" s="45"/>
      <c r="X466" s="45"/>
      <c r="Y466" s="45"/>
      <c r="Z466" s="45"/>
      <c r="AA466" s="45"/>
      <c r="AB466" s="125"/>
    </row>
    <row r="467" spans="1:33" ht="18">
      <c r="A467" s="1525" t="s">
        <v>0</v>
      </c>
      <c r="B467" s="1525"/>
      <c r="C467" s="1525"/>
      <c r="D467" s="1526"/>
      <c r="E467" s="1527"/>
      <c r="F467" s="1508"/>
      <c r="G467" s="1508"/>
      <c r="H467" s="1508"/>
      <c r="M467" s="979"/>
      <c r="N467" s="979"/>
      <c r="O467" s="718"/>
      <c r="P467" s="719"/>
      <c r="Q467" s="6"/>
      <c r="R467" s="6"/>
      <c r="S467" s="6"/>
      <c r="T467" s="6"/>
      <c r="U467" s="6"/>
      <c r="V467" s="6"/>
      <c r="W467" s="1487" t="s">
        <v>270</v>
      </c>
      <c r="X467" s="1488"/>
      <c r="Y467" s="1488"/>
      <c r="Z467" s="1488"/>
      <c r="AA467" s="1489"/>
      <c r="AB467" s="1101">
        <v>3.1</v>
      </c>
    </row>
    <row r="468" spans="1:33">
      <c r="A468" s="520" t="s">
        <v>19</v>
      </c>
      <c r="B468" s="720"/>
      <c r="C468" s="720"/>
      <c r="D468" s="720"/>
      <c r="E468" s="34"/>
      <c r="F468" s="34">
        <v>0</v>
      </c>
      <c r="G468" s="34">
        <v>1</v>
      </c>
      <c r="H468" s="34">
        <v>2</v>
      </c>
      <c r="I468" s="34">
        <v>3</v>
      </c>
      <c r="J468" s="34">
        <v>4</v>
      </c>
      <c r="K468" s="34">
        <v>5</v>
      </c>
      <c r="L468" s="34">
        <v>6</v>
      </c>
      <c r="M468" s="34">
        <v>7</v>
      </c>
      <c r="N468" s="34">
        <v>8</v>
      </c>
      <c r="O468" s="34">
        <v>9</v>
      </c>
      <c r="P468" s="34">
        <v>10</v>
      </c>
      <c r="Q468" s="34">
        <v>11</v>
      </c>
      <c r="R468" s="34">
        <v>1</v>
      </c>
      <c r="S468" s="34">
        <v>2</v>
      </c>
      <c r="T468" s="34">
        <v>3</v>
      </c>
      <c r="U468" s="34">
        <v>4</v>
      </c>
      <c r="V468" s="34">
        <v>5</v>
      </c>
      <c r="W468" s="34">
        <v>6</v>
      </c>
      <c r="X468" s="34">
        <v>7</v>
      </c>
      <c r="Y468" s="34">
        <v>8</v>
      </c>
      <c r="Z468" s="34">
        <v>9</v>
      </c>
      <c r="AA468" s="34">
        <v>10</v>
      </c>
      <c r="AB468" s="34">
        <v>11</v>
      </c>
    </row>
    <row r="469" spans="1:33">
      <c r="A469" s="34"/>
      <c r="D469" s="1276" t="s">
        <v>43</v>
      </c>
      <c r="E469" s="1276" t="s">
        <v>44</v>
      </c>
      <c r="F469" s="980">
        <v>1999</v>
      </c>
      <c r="G469" s="980">
        <v>2000</v>
      </c>
      <c r="H469" s="980">
        <v>2001</v>
      </c>
      <c r="I469" s="980">
        <v>2002</v>
      </c>
      <c r="J469" s="980">
        <v>2003</v>
      </c>
      <c r="K469" s="980">
        <v>2004</v>
      </c>
      <c r="L469" s="980">
        <v>2005</v>
      </c>
      <c r="M469" s="980">
        <v>2006</v>
      </c>
      <c r="N469" s="980">
        <v>2007</v>
      </c>
      <c r="O469" s="980">
        <v>2008</v>
      </c>
      <c r="P469" s="980">
        <v>2009</v>
      </c>
      <c r="Q469" s="980">
        <v>2010</v>
      </c>
      <c r="R469" s="980">
        <v>2011</v>
      </c>
      <c r="S469" s="980">
        <v>2012</v>
      </c>
      <c r="T469" s="980">
        <v>2013</v>
      </c>
      <c r="U469" s="980">
        <v>2014</v>
      </c>
      <c r="V469" s="980">
        <v>2015</v>
      </c>
      <c r="W469" s="980">
        <v>2016</v>
      </c>
      <c r="X469" s="980">
        <v>2017</v>
      </c>
      <c r="Y469" s="980">
        <v>2018</v>
      </c>
      <c r="Z469" s="980">
        <v>2019</v>
      </c>
      <c r="AA469" s="980">
        <v>2020</v>
      </c>
      <c r="AB469" s="980">
        <v>2021</v>
      </c>
    </row>
    <row r="470" spans="1:33" ht="12.75" hidden="1" customHeight="1">
      <c r="A470" s="13" t="s">
        <v>271</v>
      </c>
      <c r="B470" s="4"/>
      <c r="C470" s="4"/>
      <c r="D470" s="4"/>
      <c r="F470" s="616"/>
      <c r="G470" s="616"/>
      <c r="H470" s="616"/>
      <c r="I470" s="616"/>
      <c r="J470" s="616"/>
      <c r="K470" s="616"/>
      <c r="L470" s="616"/>
      <c r="M470" s="616"/>
      <c r="N470" s="616"/>
      <c r="O470" s="616"/>
      <c r="P470" s="616"/>
      <c r="Q470" s="616"/>
      <c r="R470" s="616"/>
      <c r="S470" s="616"/>
      <c r="T470" s="616"/>
      <c r="U470" s="616"/>
      <c r="V470" s="616"/>
      <c r="W470" s="616"/>
      <c r="X470" s="616"/>
      <c r="Y470" s="616"/>
      <c r="Z470" s="616"/>
      <c r="AA470" s="616"/>
      <c r="AB470" s="616"/>
    </row>
    <row r="471" spans="1:33" ht="12.75" hidden="1" customHeight="1">
      <c r="A471" s="1" t="s">
        <v>272</v>
      </c>
      <c r="F471" s="616"/>
      <c r="G471" s="616"/>
      <c r="H471" s="616"/>
      <c r="I471" s="616"/>
      <c r="J471" s="616"/>
      <c r="K471" s="616"/>
      <c r="L471" s="616"/>
      <c r="M471" s="631"/>
      <c r="N471" s="616"/>
      <c r="O471" s="616"/>
      <c r="P471" s="616"/>
      <c r="Q471" s="616"/>
      <c r="R471" s="735"/>
      <c r="S471" s="735"/>
      <c r="T471" s="735"/>
      <c r="U471" s="735"/>
      <c r="V471" s="735"/>
      <c r="W471" s="735"/>
      <c r="X471" s="735"/>
      <c r="Y471" s="735"/>
      <c r="Z471" s="616"/>
      <c r="AA471" s="616"/>
      <c r="AB471" s="616"/>
      <c r="AC471" s="616"/>
    </row>
    <row r="472" spans="1:33" ht="12.75" hidden="1" customHeight="1">
      <c r="A472" t="s">
        <v>273</v>
      </c>
      <c r="F472" s="616">
        <v>75508</v>
      </c>
      <c r="G472" s="616">
        <v>571115</v>
      </c>
      <c r="H472" s="616">
        <v>684384</v>
      </c>
      <c r="I472" s="616">
        <v>1151629</v>
      </c>
      <c r="J472" s="616">
        <v>1304595</v>
      </c>
      <c r="K472" s="616">
        <v>1293813</v>
      </c>
      <c r="L472" s="616">
        <v>1562516</v>
      </c>
      <c r="M472" s="616">
        <v>2177015</v>
      </c>
      <c r="N472" s="616">
        <v>1792846</v>
      </c>
      <c r="O472" s="616">
        <v>2346353</v>
      </c>
      <c r="P472" s="616">
        <v>2171797</v>
      </c>
      <c r="Q472" s="616">
        <v>2050950</v>
      </c>
      <c r="R472" s="735"/>
      <c r="S472" s="735"/>
      <c r="T472" s="735"/>
      <c r="U472" s="735"/>
      <c r="V472" s="735"/>
      <c r="W472" s="735"/>
      <c r="X472" s="735"/>
      <c r="Y472" s="735"/>
      <c r="Z472" s="616">
        <v>2490000</v>
      </c>
      <c r="AA472" s="616">
        <v>2058000</v>
      </c>
      <c r="AB472" s="616">
        <v>2524000</v>
      </c>
      <c r="AC472" s="616"/>
    </row>
    <row r="473" spans="1:33" ht="12.75" hidden="1" customHeight="1">
      <c r="A473" t="s">
        <v>274</v>
      </c>
      <c r="F473" s="616"/>
      <c r="G473" s="616"/>
      <c r="H473" s="616"/>
      <c r="I473" s="616"/>
      <c r="J473" s="616"/>
      <c r="K473" s="616">
        <v>0</v>
      </c>
      <c r="L473" s="616">
        <v>8758</v>
      </c>
      <c r="M473" s="616">
        <v>1145</v>
      </c>
      <c r="N473" s="616"/>
      <c r="O473" s="34"/>
      <c r="P473" s="616">
        <v>4345</v>
      </c>
      <c r="Q473" s="616">
        <v>1009</v>
      </c>
      <c r="R473" s="735"/>
      <c r="S473" s="735"/>
      <c r="T473" s="735"/>
      <c r="U473" s="735"/>
      <c r="V473" s="735"/>
      <c r="W473" s="735"/>
      <c r="X473" s="709"/>
      <c r="Y473" s="735"/>
      <c r="Z473" s="616"/>
      <c r="AA473" s="616"/>
      <c r="AB473" s="616"/>
      <c r="AC473" s="616"/>
    </row>
    <row r="474" spans="1:33" ht="12.75" hidden="1" customHeight="1">
      <c r="A474" t="s">
        <v>275</v>
      </c>
      <c r="F474" s="616">
        <v>575</v>
      </c>
      <c r="G474" s="616">
        <v>2409</v>
      </c>
      <c r="H474" s="616">
        <v>4056</v>
      </c>
      <c r="I474" s="616">
        <v>962</v>
      </c>
      <c r="J474" s="616">
        <v>1431</v>
      </c>
      <c r="K474" s="616">
        <v>6547</v>
      </c>
      <c r="L474" s="616">
        <v>7015</v>
      </c>
      <c r="M474" s="616">
        <v>39488</v>
      </c>
      <c r="N474" s="616">
        <v>10296</v>
      </c>
      <c r="O474" s="616">
        <v>4561</v>
      </c>
      <c r="P474" s="616">
        <v>4600</v>
      </c>
      <c r="Q474" s="616">
        <v>1730</v>
      </c>
      <c r="R474" s="735"/>
      <c r="S474" s="735"/>
      <c r="T474" s="735"/>
      <c r="U474" s="735"/>
      <c r="V474" s="735"/>
      <c r="W474" s="735"/>
      <c r="X474" s="735"/>
      <c r="Y474" s="735"/>
      <c r="Z474" s="616">
        <v>4000</v>
      </c>
      <c r="AA474" s="616"/>
      <c r="AB474" s="616">
        <v>0</v>
      </c>
      <c r="AC474" s="616"/>
    </row>
    <row r="475" spans="1:33" ht="12.75" hidden="1" customHeight="1">
      <c r="A475" t="s">
        <v>276</v>
      </c>
      <c r="F475" s="702"/>
      <c r="G475" s="702"/>
      <c r="H475" s="702"/>
      <c r="I475" s="702"/>
      <c r="J475" s="702"/>
      <c r="K475" s="702"/>
      <c r="L475" s="702"/>
      <c r="M475" s="702"/>
      <c r="N475" s="702"/>
      <c r="O475" s="702"/>
      <c r="P475" s="702"/>
      <c r="Q475" s="702"/>
      <c r="R475" s="736"/>
      <c r="S475" s="736"/>
      <c r="T475" s="736"/>
      <c r="U475" s="736"/>
      <c r="V475" s="736"/>
      <c r="W475" s="736"/>
      <c r="X475" s="736"/>
      <c r="Y475" s="736"/>
      <c r="Z475" s="702"/>
      <c r="AA475" s="702"/>
      <c r="AB475" s="702"/>
      <c r="AC475" s="616"/>
    </row>
    <row r="476" spans="1:33" ht="12.75" hidden="1" customHeight="1">
      <c r="F476" s="616">
        <v>76083</v>
      </c>
      <c r="G476" s="616">
        <v>573524</v>
      </c>
      <c r="H476" s="616">
        <v>688440</v>
      </c>
      <c r="I476" s="616">
        <v>1152591</v>
      </c>
      <c r="J476" s="616">
        <v>1306026</v>
      </c>
      <c r="K476" s="616">
        <v>1300360</v>
      </c>
      <c r="L476" s="616">
        <v>1578289</v>
      </c>
      <c r="M476" s="616">
        <v>2217648</v>
      </c>
      <c r="N476" s="616">
        <v>1803142</v>
      </c>
      <c r="O476" s="616">
        <v>2350914</v>
      </c>
      <c r="P476" s="616">
        <v>2180742</v>
      </c>
      <c r="Q476" s="616">
        <v>2053689</v>
      </c>
      <c r="R476" s="735">
        <v>0</v>
      </c>
      <c r="S476" s="735">
        <v>0</v>
      </c>
      <c r="T476" s="735">
        <v>0</v>
      </c>
      <c r="U476" s="735">
        <v>0</v>
      </c>
      <c r="V476" s="735">
        <v>0</v>
      </c>
      <c r="W476" s="735">
        <v>0</v>
      </c>
      <c r="X476" s="735">
        <v>0</v>
      </c>
      <c r="Y476" s="735">
        <v>0</v>
      </c>
      <c r="Z476" s="616">
        <v>2494000</v>
      </c>
      <c r="AA476" s="616">
        <v>2058000</v>
      </c>
      <c r="AB476" s="616">
        <v>2524000</v>
      </c>
      <c r="AC476" s="616"/>
    </row>
    <row r="477" spans="1:33" ht="12.75" hidden="1" customHeight="1">
      <c r="A477" s="1" t="s">
        <v>277</v>
      </c>
      <c r="F477" s="616"/>
      <c r="G477" s="616"/>
      <c r="H477" s="616"/>
      <c r="I477" s="616"/>
      <c r="J477" s="616"/>
      <c r="K477" s="616"/>
      <c r="L477" s="616"/>
      <c r="M477" s="616"/>
      <c r="N477" s="616"/>
      <c r="O477" s="616"/>
      <c r="P477" s="616"/>
      <c r="Q477" s="616"/>
      <c r="R477" s="735"/>
      <c r="S477" s="735"/>
      <c r="T477" s="735"/>
      <c r="U477" s="735"/>
      <c r="V477" s="735"/>
      <c r="W477" s="735"/>
      <c r="X477" s="735"/>
      <c r="Y477" s="735"/>
      <c r="Z477" s="616"/>
      <c r="AA477" s="616"/>
      <c r="AB477" s="616"/>
      <c r="AC477" s="616"/>
    </row>
    <row r="478" spans="1:33" ht="12.75" hidden="1" customHeight="1">
      <c r="A478" t="s">
        <v>278</v>
      </c>
      <c r="F478" s="616">
        <v>-2552</v>
      </c>
      <c r="G478" s="616">
        <v>-27422</v>
      </c>
      <c r="H478" s="616">
        <v>-21566</v>
      </c>
      <c r="I478" s="616">
        <v>-33877</v>
      </c>
      <c r="J478" s="616">
        <v>-57697</v>
      </c>
      <c r="K478" s="616">
        <v>-81940</v>
      </c>
      <c r="L478" s="616">
        <v>-94155</v>
      </c>
      <c r="M478" s="616">
        <v>-68969</v>
      </c>
      <c r="N478" s="616">
        <v>-44113</v>
      </c>
      <c r="O478" s="616">
        <v>-57826</v>
      </c>
      <c r="P478" s="616">
        <v>-71608</v>
      </c>
      <c r="Q478" s="616">
        <v>-80512</v>
      </c>
      <c r="R478" s="735"/>
      <c r="S478" s="735"/>
      <c r="T478" s="735"/>
      <c r="U478" s="735"/>
      <c r="V478" s="735"/>
      <c r="W478" s="735"/>
      <c r="X478" s="735"/>
      <c r="Y478" s="735"/>
      <c r="Z478" s="616">
        <v>-69000</v>
      </c>
      <c r="AA478" s="616">
        <v>-49000</v>
      </c>
      <c r="AB478" s="616">
        <v>-43000</v>
      </c>
      <c r="AC478" s="616"/>
    </row>
    <row r="479" spans="1:33" ht="12.75" hidden="1" customHeight="1">
      <c r="A479" t="s">
        <v>279</v>
      </c>
      <c r="F479" s="616">
        <v>7566</v>
      </c>
      <c r="G479" s="616">
        <v>-19634</v>
      </c>
      <c r="H479" s="616">
        <v>-25602</v>
      </c>
      <c r="I479" s="616">
        <v>-4027</v>
      </c>
      <c r="J479" s="616">
        <v>-750</v>
      </c>
      <c r="K479" s="616">
        <v>-4125</v>
      </c>
      <c r="L479" s="616"/>
      <c r="M479" s="616"/>
      <c r="N479" s="616">
        <v>-45</v>
      </c>
      <c r="O479" s="616">
        <v>-967</v>
      </c>
      <c r="P479" s="616">
        <v>0</v>
      </c>
      <c r="Q479" s="616"/>
      <c r="R479" s="735"/>
      <c r="S479" s="735"/>
      <c r="T479" s="735"/>
      <c r="U479" s="735"/>
      <c r="V479" s="735"/>
      <c r="W479" s="735"/>
      <c r="X479" s="735"/>
      <c r="Y479" s="735"/>
      <c r="Z479" s="616"/>
      <c r="AA479" s="616"/>
      <c r="AB479" s="616"/>
      <c r="AC479" s="616"/>
    </row>
    <row r="480" spans="1:33" ht="12.75" hidden="1" customHeight="1">
      <c r="A480" t="s">
        <v>280</v>
      </c>
      <c r="F480" s="616">
        <v>-10000</v>
      </c>
      <c r="G480" s="616">
        <v>-31167</v>
      </c>
      <c r="H480" s="616">
        <v>-40100</v>
      </c>
      <c r="I480" s="616">
        <v>-31186</v>
      </c>
      <c r="J480" s="616">
        <v>-32811</v>
      </c>
      <c r="K480" s="616">
        <v>-57923</v>
      </c>
      <c r="L480" s="616">
        <v>-80388</v>
      </c>
      <c r="M480" s="616">
        <v>-103170</v>
      </c>
      <c r="N480" s="616">
        <v>-111570</v>
      </c>
      <c r="O480" s="616">
        <v>-59588</v>
      </c>
      <c r="P480" s="616">
        <v>-38102</v>
      </c>
      <c r="Q480" s="616">
        <v>-100881</v>
      </c>
      <c r="R480" s="735"/>
      <c r="S480" s="735"/>
      <c r="T480" s="735"/>
      <c r="U480" s="735"/>
      <c r="V480" s="735"/>
      <c r="W480" s="735"/>
      <c r="X480" s="709"/>
      <c r="Y480" s="735"/>
      <c r="Z480" s="616">
        <v>-47000</v>
      </c>
      <c r="AA480" s="616">
        <v>-70000</v>
      </c>
      <c r="AB480" s="616">
        <v>-79000</v>
      </c>
      <c r="AC480" s="616"/>
    </row>
    <row r="481" spans="1:29" ht="12.75" hidden="1" customHeight="1">
      <c r="A481" t="s">
        <v>281</v>
      </c>
      <c r="F481" s="616">
        <v>-41384</v>
      </c>
      <c r="G481" s="616">
        <v>-287338</v>
      </c>
      <c r="H481" s="616">
        <v>-367842</v>
      </c>
      <c r="I481" s="616">
        <v>-1049644</v>
      </c>
      <c r="J481" s="616">
        <v>-930770</v>
      </c>
      <c r="K481" s="616">
        <v>-847527</v>
      </c>
      <c r="L481" s="616">
        <v>-1058610</v>
      </c>
      <c r="M481" s="616">
        <v>-1755320</v>
      </c>
      <c r="N481" s="616">
        <v>-1297235</v>
      </c>
      <c r="O481" s="616">
        <v>-1889904</v>
      </c>
      <c r="P481" s="616">
        <v>-1757508</v>
      </c>
      <c r="Q481" s="616">
        <v>-1420472</v>
      </c>
      <c r="R481" s="735"/>
      <c r="S481" s="735"/>
      <c r="T481" s="735"/>
      <c r="U481" s="735"/>
      <c r="V481" s="735"/>
      <c r="W481" s="735"/>
      <c r="X481" s="735"/>
      <c r="Y481" s="735"/>
      <c r="Z481" s="616">
        <v>-1977000</v>
      </c>
      <c r="AA481" s="616">
        <v>-1598000</v>
      </c>
      <c r="AB481" s="616">
        <v>-1970000</v>
      </c>
      <c r="AC481" s="616"/>
    </row>
    <row r="482" spans="1:29" ht="12.75" hidden="1" customHeight="1">
      <c r="F482" s="702"/>
      <c r="G482" s="702"/>
      <c r="H482" s="702"/>
      <c r="I482" s="702"/>
      <c r="J482" s="702"/>
      <c r="K482" s="702"/>
      <c r="L482" s="702"/>
      <c r="M482" s="702"/>
      <c r="N482" s="702"/>
      <c r="O482" s="702"/>
      <c r="P482" s="702"/>
      <c r="Q482" s="702"/>
      <c r="R482" s="736"/>
      <c r="S482" s="736"/>
      <c r="T482" s="736"/>
      <c r="U482" s="736"/>
      <c r="V482" s="736"/>
      <c r="W482" s="736"/>
      <c r="X482" s="736"/>
      <c r="Y482" s="736"/>
      <c r="Z482" s="702"/>
      <c r="AA482" s="702"/>
      <c r="AB482" s="702"/>
      <c r="AC482" s="616"/>
    </row>
    <row r="483" spans="1:29" ht="12.75" hidden="1" customHeight="1">
      <c r="F483" s="616">
        <v>-46370</v>
      </c>
      <c r="G483" s="616">
        <v>-365561</v>
      </c>
      <c r="H483" s="616">
        <v>-455110</v>
      </c>
      <c r="I483" s="616">
        <v>-1118734</v>
      </c>
      <c r="J483" s="616">
        <v>-1022028</v>
      </c>
      <c r="K483" s="616">
        <v>-991515</v>
      </c>
      <c r="L483" s="616">
        <v>-1233153</v>
      </c>
      <c r="M483" s="616">
        <v>-1927459</v>
      </c>
      <c r="N483" s="616">
        <v>-1452963</v>
      </c>
      <c r="O483" s="616">
        <v>-2008285</v>
      </c>
      <c r="P483" s="616">
        <v>-1867218</v>
      </c>
      <c r="Q483" s="616">
        <v>-1601865</v>
      </c>
      <c r="R483" s="735">
        <v>0</v>
      </c>
      <c r="S483" s="735">
        <v>0</v>
      </c>
      <c r="T483" s="735">
        <v>0</v>
      </c>
      <c r="U483" s="735">
        <v>0</v>
      </c>
      <c r="V483" s="735">
        <v>0</v>
      </c>
      <c r="W483" s="735">
        <v>0</v>
      </c>
      <c r="X483" s="735">
        <v>0</v>
      </c>
      <c r="Y483" s="735">
        <v>0</v>
      </c>
      <c r="Z483" s="616">
        <v>-2093000</v>
      </c>
      <c r="AA483" s="616">
        <v>-1717000</v>
      </c>
      <c r="AB483" s="616">
        <v>-2092000</v>
      </c>
      <c r="AC483" s="616"/>
    </row>
    <row r="484" spans="1:29" ht="12.75" hidden="1" customHeight="1">
      <c r="F484" s="616"/>
      <c r="G484" s="616"/>
      <c r="H484" s="616"/>
      <c r="I484" s="616"/>
      <c r="J484" s="616"/>
      <c r="K484" s="616"/>
      <c r="L484" s="616"/>
      <c r="M484" s="616"/>
      <c r="N484" s="616"/>
      <c r="O484" s="616"/>
      <c r="P484" s="616"/>
      <c r="Q484" s="616"/>
      <c r="R484" s="735"/>
      <c r="S484" s="735"/>
      <c r="T484" s="735"/>
      <c r="U484" s="735"/>
      <c r="V484" s="735"/>
      <c r="W484" s="735"/>
      <c r="X484" s="735"/>
      <c r="Y484" s="735"/>
      <c r="Z484" s="616"/>
      <c r="AA484" s="616"/>
      <c r="AB484" s="616"/>
      <c r="AC484" s="616"/>
    </row>
    <row r="485" spans="1:29" ht="12.75" hidden="1" customHeight="1">
      <c r="A485" s="1" t="s">
        <v>282</v>
      </c>
      <c r="F485" s="707">
        <v>29713</v>
      </c>
      <c r="G485" s="707">
        <v>207963</v>
      </c>
      <c r="H485" s="707">
        <v>233330</v>
      </c>
      <c r="I485" s="707">
        <v>33857</v>
      </c>
      <c r="J485" s="707">
        <v>283998</v>
      </c>
      <c r="K485" s="707">
        <v>308845</v>
      </c>
      <c r="L485" s="707">
        <v>345136</v>
      </c>
      <c r="M485" s="707">
        <v>290189</v>
      </c>
      <c r="N485" s="707">
        <v>350179</v>
      </c>
      <c r="O485" s="707">
        <v>342629</v>
      </c>
      <c r="P485" s="707">
        <v>313524</v>
      </c>
      <c r="Q485" s="707">
        <v>451824</v>
      </c>
      <c r="R485" s="860">
        <v>0</v>
      </c>
      <c r="S485" s="860">
        <v>0</v>
      </c>
      <c r="T485" s="860">
        <v>0</v>
      </c>
      <c r="U485" s="860">
        <v>0</v>
      </c>
      <c r="V485" s="860">
        <v>0</v>
      </c>
      <c r="W485" s="860">
        <v>0</v>
      </c>
      <c r="X485" s="860">
        <v>0</v>
      </c>
      <c r="Y485" s="735">
        <v>0</v>
      </c>
      <c r="Z485" s="616">
        <v>401000</v>
      </c>
      <c r="AA485" s="616">
        <v>341000</v>
      </c>
      <c r="AB485" s="616">
        <v>432000</v>
      </c>
      <c r="AC485" s="616"/>
    </row>
    <row r="486" spans="1:29" ht="12.75" hidden="1" customHeight="1">
      <c r="A486" s="1"/>
      <c r="F486" s="616"/>
      <c r="G486" s="616"/>
      <c r="H486" s="616"/>
      <c r="I486" s="616"/>
      <c r="J486" s="616"/>
      <c r="K486" s="616"/>
      <c r="L486" s="616"/>
      <c r="M486" s="616"/>
      <c r="N486" s="616"/>
      <c r="O486" s="616"/>
      <c r="P486" s="616"/>
      <c r="Q486" s="616"/>
      <c r="R486" s="735"/>
      <c r="S486" s="735"/>
      <c r="T486" s="735"/>
      <c r="U486" s="735"/>
      <c r="V486" s="735"/>
      <c r="W486" s="735"/>
      <c r="X486" s="735"/>
      <c r="Y486" s="735"/>
      <c r="Z486" s="616"/>
      <c r="AA486" s="616"/>
      <c r="AB486" s="616"/>
      <c r="AC486" s="616"/>
    </row>
    <row r="487" spans="1:29" ht="12.75" hidden="1" customHeight="1">
      <c r="A487" s="13" t="s">
        <v>283</v>
      </c>
      <c r="B487" s="4"/>
      <c r="C487" s="4"/>
      <c r="D487" s="4"/>
      <c r="F487" s="616"/>
      <c r="G487" s="616"/>
      <c r="H487" s="616"/>
      <c r="I487" s="616"/>
      <c r="J487" s="616"/>
      <c r="K487" s="616"/>
      <c r="L487" s="616"/>
      <c r="M487" s="616"/>
      <c r="N487" s="616"/>
      <c r="O487" s="616"/>
      <c r="P487" s="616"/>
      <c r="Q487" s="616"/>
      <c r="R487" s="735"/>
      <c r="S487" s="735"/>
      <c r="T487" s="735"/>
      <c r="U487" s="735"/>
      <c r="V487" s="735"/>
      <c r="W487" s="735"/>
      <c r="X487" s="735"/>
      <c r="Y487" s="735"/>
      <c r="Z487" s="616"/>
      <c r="AA487" s="616"/>
      <c r="AB487" s="616"/>
      <c r="AC487" s="616"/>
    </row>
    <row r="488" spans="1:29" ht="12.75" hidden="1" customHeight="1">
      <c r="A488" s="1" t="s">
        <v>272</v>
      </c>
      <c r="F488" s="616"/>
      <c r="G488" s="616"/>
      <c r="H488" s="616"/>
      <c r="I488" s="616"/>
      <c r="J488" s="616"/>
      <c r="K488" s="616"/>
      <c r="L488" s="616"/>
      <c r="M488" s="616"/>
      <c r="N488" s="616"/>
      <c r="O488" s="616"/>
      <c r="P488" s="616"/>
      <c r="Q488" s="616"/>
      <c r="R488" s="735"/>
      <c r="S488" s="735"/>
      <c r="T488" s="735"/>
      <c r="U488" s="735"/>
      <c r="V488" s="735"/>
      <c r="W488" s="735"/>
      <c r="X488" s="735"/>
      <c r="Y488" s="735"/>
      <c r="Z488" s="616"/>
      <c r="AA488" s="616"/>
      <c r="AB488" s="616"/>
      <c r="AC488" s="616"/>
    </row>
    <row r="489" spans="1:29" ht="12.75" hidden="1" customHeight="1">
      <c r="A489" t="s">
        <v>261</v>
      </c>
      <c r="F489" s="616"/>
      <c r="G489" s="616"/>
      <c r="H489" s="616"/>
      <c r="I489" s="616"/>
      <c r="J489" s="616"/>
      <c r="K489" s="616">
        <v>0</v>
      </c>
      <c r="L489" s="616">
        <v>0</v>
      </c>
      <c r="M489" s="616">
        <v>1492766</v>
      </c>
      <c r="N489" s="616">
        <v>0</v>
      </c>
      <c r="O489" s="616">
        <v>0</v>
      </c>
      <c r="P489" s="616">
        <v>0</v>
      </c>
      <c r="Q489" s="616">
        <v>0</v>
      </c>
      <c r="R489" s="735"/>
      <c r="S489" s="735"/>
      <c r="T489" s="735"/>
      <c r="U489" s="735"/>
      <c r="V489" s="735"/>
      <c r="W489" s="735"/>
      <c r="X489" s="735"/>
      <c r="Y489" s="735"/>
      <c r="Z489" s="616"/>
      <c r="AA489" s="616"/>
      <c r="AB489" s="616"/>
      <c r="AC489" s="616"/>
    </row>
    <row r="490" spans="1:29" ht="12.75" hidden="1" customHeight="1">
      <c r="A490" t="s">
        <v>284</v>
      </c>
      <c r="F490" s="616">
        <v>84489</v>
      </c>
      <c r="G490" s="616">
        <v>1139</v>
      </c>
      <c r="H490" s="616">
        <v>211</v>
      </c>
      <c r="I490" s="616">
        <v>178</v>
      </c>
      <c r="J490" s="616">
        <v>178</v>
      </c>
      <c r="K490" s="616">
        <v>172</v>
      </c>
      <c r="L490" s="616">
        <v>3741</v>
      </c>
      <c r="M490" s="616">
        <v>5314</v>
      </c>
      <c r="N490" s="616">
        <v>9664</v>
      </c>
      <c r="O490" s="616">
        <v>1095</v>
      </c>
      <c r="P490" s="616">
        <v>19876</v>
      </c>
      <c r="Q490" s="616">
        <v>11092</v>
      </c>
      <c r="R490" s="735"/>
      <c r="S490" s="735"/>
      <c r="T490" s="735"/>
      <c r="U490" s="735"/>
      <c r="V490" s="735"/>
      <c r="W490" s="735"/>
      <c r="X490" s="735"/>
      <c r="Y490" s="735"/>
      <c r="Z490" s="616"/>
      <c r="AA490" s="616"/>
      <c r="AB490" s="616"/>
      <c r="AC490" s="616"/>
    </row>
    <row r="491" spans="1:29" ht="12.75" hidden="1" customHeight="1">
      <c r="A491" t="s">
        <v>1184</v>
      </c>
      <c r="F491" s="616"/>
      <c r="G491" s="616"/>
      <c r="H491" s="616"/>
      <c r="I491" s="616"/>
      <c r="J491" s="616"/>
      <c r="K491" s="616"/>
      <c r="L491" s="616"/>
      <c r="M491" s="616"/>
      <c r="N491" s="616"/>
      <c r="O491" s="616"/>
      <c r="P491" s="616"/>
      <c r="Q491" s="616"/>
      <c r="R491" s="735"/>
      <c r="S491" s="735"/>
      <c r="T491" s="735"/>
      <c r="U491" s="735"/>
      <c r="V491" s="735"/>
      <c r="W491" s="735"/>
      <c r="X491" s="735"/>
      <c r="Y491" s="735"/>
      <c r="Z491" s="616">
        <v>390000</v>
      </c>
      <c r="AA491" s="616"/>
      <c r="AB491" s="616"/>
      <c r="AC491" s="616"/>
    </row>
    <row r="492" spans="1:29" ht="12.75" hidden="1" customHeight="1">
      <c r="A492" t="s">
        <v>144</v>
      </c>
      <c r="F492" s="616"/>
      <c r="G492" s="616"/>
      <c r="H492" s="616"/>
      <c r="I492" s="616"/>
      <c r="J492" s="616"/>
      <c r="K492" s="616"/>
      <c r="L492" s="616"/>
      <c r="M492" s="616"/>
      <c r="N492" s="616"/>
      <c r="O492" s="616"/>
      <c r="P492" s="616"/>
      <c r="Q492" s="616"/>
      <c r="R492" s="735"/>
      <c r="S492" s="735"/>
      <c r="T492" s="735"/>
      <c r="U492" s="735"/>
      <c r="V492" s="735"/>
      <c r="W492" s="735"/>
      <c r="X492" s="735"/>
      <c r="Y492" s="735"/>
      <c r="Z492" s="616"/>
      <c r="AA492" s="616"/>
      <c r="AB492" s="616"/>
      <c r="AC492" s="616"/>
    </row>
    <row r="493" spans="1:29" ht="12.75" hidden="1" customHeight="1">
      <c r="A493" t="s">
        <v>285</v>
      </c>
      <c r="F493" s="616"/>
      <c r="G493" s="616"/>
      <c r="H493" s="616"/>
      <c r="I493" s="616"/>
      <c r="J493" s="616"/>
      <c r="K493" s="616"/>
      <c r="L493" s="616"/>
      <c r="M493" s="616"/>
      <c r="N493" s="616"/>
      <c r="O493" s="616"/>
      <c r="P493" s="616">
        <v>22</v>
      </c>
      <c r="Q493" s="616"/>
      <c r="R493" s="735"/>
      <c r="S493" s="735"/>
      <c r="T493" s="735"/>
      <c r="U493" s="735"/>
      <c r="V493" s="735"/>
      <c r="W493" s="735"/>
      <c r="X493" s="735"/>
      <c r="Y493" s="735"/>
      <c r="Z493" s="616"/>
      <c r="AA493" s="616"/>
      <c r="AB493" s="616"/>
      <c r="AC493" s="616"/>
    </row>
    <row r="494" spans="1:29" ht="12.75" hidden="1" customHeight="1">
      <c r="A494" t="s">
        <v>286</v>
      </c>
      <c r="F494" s="616"/>
      <c r="G494" s="616"/>
      <c r="H494" s="616"/>
      <c r="I494" s="616"/>
      <c r="J494" s="616"/>
      <c r="K494" s="616">
        <v>0</v>
      </c>
      <c r="L494" s="616">
        <v>303</v>
      </c>
      <c r="M494" s="616">
        <v>2181</v>
      </c>
      <c r="N494" s="616">
        <v>192</v>
      </c>
      <c r="O494" s="616">
        <v>2540</v>
      </c>
      <c r="P494" s="616">
        <v>3612</v>
      </c>
      <c r="Q494" s="616">
        <v>924</v>
      </c>
      <c r="R494" s="735"/>
      <c r="S494" s="735"/>
      <c r="T494" s="735"/>
      <c r="U494" s="735"/>
      <c r="V494" s="735"/>
      <c r="W494" s="735"/>
      <c r="X494" s="735"/>
      <c r="Y494" s="735"/>
      <c r="Z494" s="616"/>
      <c r="AA494" s="616"/>
      <c r="AB494" s="616"/>
      <c r="AC494" s="616"/>
    </row>
    <row r="495" spans="1:29" ht="12.75" hidden="1" customHeight="1">
      <c r="A495" t="s">
        <v>287</v>
      </c>
      <c r="F495" s="43"/>
      <c r="G495" s="43"/>
      <c r="H495" s="43"/>
      <c r="I495" s="43"/>
      <c r="J495" s="43"/>
      <c r="K495" s="43"/>
      <c r="L495" s="43"/>
      <c r="M495" s="43"/>
      <c r="N495" s="43"/>
      <c r="O495" s="43"/>
      <c r="P495" s="43"/>
      <c r="Q495" s="43"/>
      <c r="R495" s="1119"/>
      <c r="S495" s="1119"/>
      <c r="T495" s="1119"/>
      <c r="U495" s="1119"/>
      <c r="V495" s="1119"/>
      <c r="W495" s="1119"/>
      <c r="X495" s="1119"/>
      <c r="Y495" s="736"/>
      <c r="Z495" s="702"/>
      <c r="AA495" s="702"/>
      <c r="AB495" s="702"/>
      <c r="AC495" s="616"/>
    </row>
    <row r="496" spans="1:29" ht="12.75" hidden="1" customHeight="1">
      <c r="A496" s="1"/>
      <c r="F496" s="703">
        <v>84489</v>
      </c>
      <c r="G496" s="703">
        <v>1139</v>
      </c>
      <c r="H496" s="703">
        <v>211</v>
      </c>
      <c r="I496" s="703">
        <v>178</v>
      </c>
      <c r="J496" s="703">
        <v>178</v>
      </c>
      <c r="K496" s="703">
        <v>172</v>
      </c>
      <c r="L496" s="616">
        <v>4044</v>
      </c>
      <c r="M496" s="616">
        <v>1500261</v>
      </c>
      <c r="N496" s="616">
        <v>9856</v>
      </c>
      <c r="O496" s="616">
        <v>3635</v>
      </c>
      <c r="P496" s="616">
        <v>23510</v>
      </c>
      <c r="Q496" s="616">
        <v>12016</v>
      </c>
      <c r="R496" s="735">
        <v>0</v>
      </c>
      <c r="S496" s="735">
        <v>0</v>
      </c>
      <c r="T496" s="735">
        <v>0</v>
      </c>
      <c r="U496" s="735">
        <v>0</v>
      </c>
      <c r="V496" s="735">
        <v>0</v>
      </c>
      <c r="W496" s="735">
        <v>0</v>
      </c>
      <c r="X496" s="735">
        <v>0</v>
      </c>
      <c r="Y496" s="735">
        <v>0</v>
      </c>
      <c r="Z496" s="616">
        <v>390000</v>
      </c>
      <c r="AA496" s="616">
        <v>0</v>
      </c>
      <c r="AB496" s="616">
        <v>0</v>
      </c>
      <c r="AC496" s="616"/>
    </row>
    <row r="497" spans="1:30" ht="12.75" hidden="1" customHeight="1">
      <c r="A497" s="1" t="s">
        <v>277</v>
      </c>
      <c r="F497" s="616"/>
      <c r="G497" s="616"/>
      <c r="H497" s="616"/>
      <c r="I497" s="616"/>
      <c r="J497" s="616"/>
      <c r="K497" s="616"/>
      <c r="L497" s="34"/>
      <c r="M497" s="34"/>
      <c r="N497" s="34"/>
      <c r="O497" s="34"/>
      <c r="P497" s="34"/>
      <c r="Q497" s="34"/>
      <c r="R497" s="709"/>
      <c r="S497" s="735"/>
      <c r="T497" s="735"/>
      <c r="U497" s="735"/>
      <c r="V497" s="735"/>
      <c r="W497" s="735"/>
      <c r="X497" s="709"/>
      <c r="Y497" s="735"/>
      <c r="Z497" s="616"/>
      <c r="AA497" s="616"/>
      <c r="AB497" s="616"/>
      <c r="AC497" s="616"/>
    </row>
    <row r="498" spans="1:30" ht="12.75" hidden="1" customHeight="1">
      <c r="A498" t="s">
        <v>288</v>
      </c>
      <c r="F498" s="616">
        <v>-23918</v>
      </c>
      <c r="G498" s="616">
        <v>-61344</v>
      </c>
      <c r="H498" s="616">
        <v>-90300</v>
      </c>
      <c r="I498" s="616">
        <v>-65084</v>
      </c>
      <c r="J498" s="616">
        <v>-563240</v>
      </c>
      <c r="K498" s="616">
        <v>-185318</v>
      </c>
      <c r="L498" s="616">
        <v>-308181</v>
      </c>
      <c r="M498" s="616">
        <v>-75980</v>
      </c>
      <c r="N498" s="616">
        <v>-184016</v>
      </c>
      <c r="O498" s="616">
        <v>-264488</v>
      </c>
      <c r="P498" s="616">
        <v>-465621</v>
      </c>
      <c r="Q498" s="616">
        <v>-196944</v>
      </c>
      <c r="R498" s="735"/>
      <c r="S498" s="735"/>
      <c r="T498" s="735"/>
      <c r="U498" s="735"/>
      <c r="V498" s="735"/>
      <c r="W498" s="735"/>
      <c r="X498" s="735"/>
      <c r="Y498" s="735"/>
      <c r="Z498" s="616">
        <v>-63000</v>
      </c>
      <c r="AA498" s="616">
        <v>-94000</v>
      </c>
      <c r="AB498" s="616">
        <v>-129000</v>
      </c>
      <c r="AC498" s="616"/>
    </row>
    <row r="499" spans="1:30" ht="12.75" hidden="1" customHeight="1">
      <c r="A499" t="s">
        <v>289</v>
      </c>
      <c r="F499" s="616">
        <v>0</v>
      </c>
      <c r="G499" s="616">
        <v>-19838</v>
      </c>
      <c r="H499" s="616">
        <v>-18412</v>
      </c>
      <c r="I499" s="616">
        <v>-17661</v>
      </c>
      <c r="J499" s="616">
        <v>-1310</v>
      </c>
      <c r="K499" s="616">
        <v>-2278</v>
      </c>
      <c r="L499" s="616">
        <v>0</v>
      </c>
      <c r="M499" s="616">
        <v>-2003</v>
      </c>
      <c r="N499" s="616">
        <v>-1258</v>
      </c>
      <c r="O499" s="616">
        <v>-7183</v>
      </c>
      <c r="P499" s="616">
        <v>-18460</v>
      </c>
      <c r="Q499" s="616">
        <v>-10082</v>
      </c>
      <c r="R499" s="735"/>
      <c r="S499" s="735"/>
      <c r="T499" s="735"/>
      <c r="U499" s="735"/>
      <c r="V499" s="735"/>
      <c r="W499" s="735"/>
      <c r="X499" s="735"/>
      <c r="Y499" s="735"/>
      <c r="Z499" s="616">
        <v>0</v>
      </c>
      <c r="AA499" s="616">
        <v>-6000</v>
      </c>
      <c r="AB499" s="616">
        <v>-8000</v>
      </c>
      <c r="AC499" s="616"/>
    </row>
    <row r="500" spans="1:30" ht="12.75" hidden="1" customHeight="1">
      <c r="A500" t="s">
        <v>290</v>
      </c>
      <c r="F500" s="616"/>
      <c r="G500" s="616"/>
      <c r="H500" s="616"/>
      <c r="I500" s="616"/>
      <c r="J500" s="616"/>
      <c r="K500" s="616"/>
      <c r="L500" s="616"/>
      <c r="M500" s="616"/>
      <c r="N500" s="616">
        <v>-13138</v>
      </c>
      <c r="O500" s="616">
        <v>0</v>
      </c>
      <c r="P500" s="616">
        <v>0</v>
      </c>
      <c r="Q500" s="616">
        <v>0</v>
      </c>
      <c r="R500" s="735"/>
      <c r="S500" s="735"/>
      <c r="T500" s="735"/>
      <c r="U500" s="735"/>
      <c r="V500" s="735"/>
      <c r="W500" s="735"/>
      <c r="X500" s="735"/>
      <c r="Y500" s="735"/>
      <c r="Z500" s="616">
        <v>-8000</v>
      </c>
      <c r="AA500" s="616">
        <v>-3000</v>
      </c>
      <c r="AB500" s="616">
        <v>-1000</v>
      </c>
      <c r="AC500" s="616"/>
    </row>
    <row r="501" spans="1:30" ht="12.75" hidden="1" customHeight="1">
      <c r="A501" t="s">
        <v>291</v>
      </c>
      <c r="F501" s="616"/>
      <c r="G501" s="616"/>
      <c r="H501" s="616"/>
      <c r="I501" s="616">
        <v>0</v>
      </c>
      <c r="J501" s="616">
        <v>-195477</v>
      </c>
      <c r="K501" s="616">
        <v>-2562</v>
      </c>
      <c r="L501" s="616">
        <v>-1903</v>
      </c>
      <c r="M501" s="34">
        <v>0</v>
      </c>
      <c r="N501" s="616">
        <v>-211</v>
      </c>
      <c r="O501" s="616">
        <v>0</v>
      </c>
      <c r="P501" s="616">
        <v>-14553</v>
      </c>
      <c r="Q501" s="616">
        <v>-17523</v>
      </c>
      <c r="R501" s="735"/>
      <c r="S501" s="735"/>
      <c r="T501" s="735"/>
      <c r="U501" s="735"/>
      <c r="V501" s="735"/>
      <c r="W501" s="735"/>
      <c r="X501" s="735"/>
      <c r="Y501" s="735"/>
      <c r="Z501" s="616"/>
      <c r="AA501" s="616"/>
      <c r="AB501" s="616"/>
      <c r="AC501" s="616"/>
    </row>
    <row r="502" spans="1:30" ht="12.75" hidden="1" customHeight="1">
      <c r="A502" t="s">
        <v>292</v>
      </c>
      <c r="F502" s="616"/>
      <c r="G502" s="616"/>
      <c r="H502" s="616"/>
      <c r="I502" s="616"/>
      <c r="J502" s="616"/>
      <c r="K502" s="616"/>
      <c r="L502" s="616"/>
      <c r="M502" s="34"/>
      <c r="N502" s="616"/>
      <c r="O502" s="616"/>
      <c r="P502" s="616">
        <v>-1630</v>
      </c>
      <c r="Q502" s="616">
        <v>-8</v>
      </c>
      <c r="R502" s="735"/>
      <c r="S502" s="735"/>
      <c r="T502" s="735"/>
      <c r="U502" s="735"/>
      <c r="V502" s="735"/>
      <c r="W502" s="735"/>
      <c r="X502" s="735"/>
      <c r="Y502" s="735"/>
      <c r="Z502" s="616"/>
      <c r="AA502" s="616"/>
      <c r="AB502" s="616"/>
      <c r="AC502" s="616"/>
    </row>
    <row r="503" spans="1:30" ht="12.75" hidden="1" customHeight="1">
      <c r="A503" t="s">
        <v>293</v>
      </c>
      <c r="F503" s="616"/>
      <c r="G503" s="616">
        <v>-3594</v>
      </c>
      <c r="H503" s="616">
        <v>-6639</v>
      </c>
      <c r="I503" s="616">
        <v>-3440</v>
      </c>
      <c r="J503" s="616">
        <v>-2648</v>
      </c>
      <c r="K503" s="616">
        <v>-10107</v>
      </c>
      <c r="L503" s="616">
        <v>-10791</v>
      </c>
      <c r="M503" s="616">
        <v>-6700</v>
      </c>
      <c r="N503" s="616">
        <v>-588</v>
      </c>
      <c r="O503" s="616">
        <v>-3507</v>
      </c>
      <c r="P503" s="616"/>
      <c r="Q503" s="616">
        <v>-245828</v>
      </c>
      <c r="R503" s="735"/>
      <c r="S503" s="735"/>
      <c r="T503" s="735"/>
      <c r="U503" s="735"/>
      <c r="V503" s="735"/>
      <c r="W503" s="735"/>
      <c r="X503" s="735"/>
      <c r="Y503" s="735"/>
      <c r="Z503" s="616"/>
      <c r="AA503" s="616">
        <v>0</v>
      </c>
      <c r="AB503" s="616">
        <v>-31000</v>
      </c>
      <c r="AC503" s="616"/>
    </row>
    <row r="504" spans="1:30" ht="12.75" hidden="1" customHeight="1">
      <c r="A504" t="s">
        <v>1165</v>
      </c>
      <c r="F504" s="616"/>
      <c r="G504" s="616"/>
      <c r="H504" s="616"/>
      <c r="I504" s="616">
        <v>0</v>
      </c>
      <c r="J504" s="616">
        <v>-1162</v>
      </c>
      <c r="K504" s="616">
        <v>-728</v>
      </c>
      <c r="L504" s="616"/>
      <c r="M504" s="616"/>
      <c r="N504" s="616"/>
      <c r="O504" s="616"/>
      <c r="P504" s="616"/>
      <c r="Q504" s="616"/>
      <c r="R504" s="735"/>
      <c r="S504" s="735"/>
      <c r="T504" s="735"/>
      <c r="U504" s="735"/>
      <c r="V504" s="735"/>
      <c r="W504" s="735"/>
      <c r="X504" s="735"/>
      <c r="Y504" s="735"/>
      <c r="Z504" s="616">
        <v>0</v>
      </c>
      <c r="AA504" s="616">
        <v>-3000</v>
      </c>
      <c r="AB504" s="616">
        <v>-8000</v>
      </c>
      <c r="AC504" s="616"/>
    </row>
    <row r="505" spans="1:30" ht="12.75" hidden="1" customHeight="1">
      <c r="A505" t="s">
        <v>294</v>
      </c>
      <c r="F505" s="616"/>
      <c r="G505" s="616">
        <v>-2103</v>
      </c>
      <c r="H505" s="616">
        <v>-1478</v>
      </c>
      <c r="I505" s="616">
        <v>-37118</v>
      </c>
      <c r="J505" s="616">
        <v>-247</v>
      </c>
      <c r="K505" s="616">
        <v>-326</v>
      </c>
      <c r="L505" s="616"/>
      <c r="M505" s="616"/>
      <c r="N505" s="616"/>
      <c r="O505" s="616"/>
      <c r="P505" s="616"/>
      <c r="Q505" s="616"/>
      <c r="R505" s="735"/>
      <c r="S505" s="735"/>
      <c r="T505" s="735"/>
      <c r="U505" s="735"/>
      <c r="V505" s="735"/>
      <c r="W505" s="735"/>
      <c r="X505" s="735"/>
      <c r="Y505" s="735"/>
      <c r="Z505" s="616"/>
      <c r="AA505" s="616"/>
      <c r="AB505" s="616"/>
      <c r="AC505" s="616"/>
    </row>
    <row r="506" spans="1:30" ht="12.75" hidden="1" customHeight="1">
      <c r="A506" t="s">
        <v>1183</v>
      </c>
      <c r="F506" s="616">
        <v>-2074903</v>
      </c>
      <c r="G506" s="616">
        <v>0</v>
      </c>
      <c r="H506" s="616">
        <v>-107127</v>
      </c>
      <c r="I506" s="616"/>
      <c r="J506" s="616"/>
      <c r="K506" s="616"/>
      <c r="L506" s="616"/>
      <c r="M506" s="616"/>
      <c r="N506" s="616"/>
      <c r="O506" s="616"/>
      <c r="P506" s="616"/>
      <c r="Q506" s="616"/>
      <c r="R506" s="735"/>
      <c r="S506" s="735"/>
      <c r="T506" s="735"/>
      <c r="U506" s="735"/>
      <c r="V506" s="735"/>
      <c r="W506" s="735"/>
      <c r="X506" s="735"/>
      <c r="Y506" s="735"/>
      <c r="Z506" s="616"/>
      <c r="AA506" s="616"/>
      <c r="AB506" s="616"/>
      <c r="AC506" s="616"/>
    </row>
    <row r="507" spans="1:30" ht="12.75" hidden="1" customHeight="1">
      <c r="A507" t="s">
        <v>295</v>
      </c>
      <c r="F507" s="616"/>
      <c r="G507" s="616"/>
      <c r="H507" s="616"/>
      <c r="I507" s="616"/>
      <c r="J507" s="616"/>
      <c r="K507" s="616"/>
      <c r="L507" s="616"/>
      <c r="M507" s="616"/>
      <c r="N507" s="616"/>
      <c r="O507" s="616"/>
      <c r="P507" s="616"/>
      <c r="Q507" s="616"/>
      <c r="R507" s="735"/>
      <c r="S507" s="735"/>
      <c r="T507" s="735"/>
      <c r="U507" s="735"/>
      <c r="V507" s="735"/>
      <c r="W507" s="735"/>
      <c r="X507" s="735"/>
      <c r="Y507" s="735"/>
      <c r="Z507" s="616"/>
      <c r="AA507" s="616"/>
      <c r="AB507" s="616"/>
      <c r="AC507" s="616"/>
    </row>
    <row r="508" spans="1:30" ht="12.75" hidden="1" customHeight="1">
      <c r="A508" t="s">
        <v>296</v>
      </c>
      <c r="F508" s="43"/>
      <c r="G508" s="43"/>
      <c r="H508" s="43"/>
      <c r="I508" s="43"/>
      <c r="J508" s="43"/>
      <c r="K508" s="43"/>
      <c r="L508" s="43"/>
      <c r="M508" s="43"/>
      <c r="N508" s="702"/>
      <c r="O508" s="702"/>
      <c r="P508" s="702"/>
      <c r="Q508" s="702"/>
      <c r="R508" s="736"/>
      <c r="S508" s="736"/>
      <c r="T508" s="736"/>
      <c r="U508" s="736"/>
      <c r="V508" s="736"/>
      <c r="W508" s="736"/>
      <c r="X508" s="736"/>
      <c r="Y508" s="736"/>
      <c r="Z508" s="702"/>
      <c r="AA508" s="702"/>
      <c r="AB508" s="702"/>
      <c r="AC508" s="616"/>
    </row>
    <row r="509" spans="1:30" ht="12.75" hidden="1" customHeight="1">
      <c r="F509" s="616">
        <v>-2098821</v>
      </c>
      <c r="G509" s="616">
        <v>-86879</v>
      </c>
      <c r="H509" s="616">
        <v>-223956</v>
      </c>
      <c r="I509" s="616">
        <v>-123303</v>
      </c>
      <c r="J509" s="616">
        <v>-764084</v>
      </c>
      <c r="K509" s="616">
        <v>-201319</v>
      </c>
      <c r="L509" s="616">
        <v>-320875</v>
      </c>
      <c r="M509" s="616">
        <v>-84683</v>
      </c>
      <c r="N509" s="616">
        <v>-199211</v>
      </c>
      <c r="O509" s="616">
        <v>-275178</v>
      </c>
      <c r="P509" s="616">
        <v>-500264</v>
      </c>
      <c r="Q509" s="616">
        <v>-470385</v>
      </c>
      <c r="R509" s="735">
        <v>0</v>
      </c>
      <c r="S509" s="735">
        <v>0</v>
      </c>
      <c r="T509" s="735">
        <v>0</v>
      </c>
      <c r="U509" s="735">
        <v>0</v>
      </c>
      <c r="V509" s="735">
        <v>0</v>
      </c>
      <c r="W509" s="735">
        <v>0</v>
      </c>
      <c r="X509" s="735">
        <v>0</v>
      </c>
      <c r="Y509" s="735">
        <v>0</v>
      </c>
      <c r="Z509" s="616">
        <v>-71000</v>
      </c>
      <c r="AA509" s="616">
        <v>-106000</v>
      </c>
      <c r="AB509" s="616">
        <v>-177000</v>
      </c>
      <c r="AC509" s="616"/>
    </row>
    <row r="510" spans="1:30" ht="12.75" hidden="1" customHeight="1">
      <c r="A510" s="1"/>
      <c r="F510" s="616"/>
      <c r="G510" s="616"/>
      <c r="H510" s="616"/>
      <c r="I510" s="616"/>
      <c r="J510" s="616"/>
      <c r="K510" s="616"/>
      <c r="L510" s="616"/>
      <c r="M510" s="616"/>
      <c r="N510" s="616"/>
      <c r="O510" s="616"/>
      <c r="P510" s="616"/>
      <c r="Q510" s="616"/>
      <c r="R510" s="735"/>
      <c r="S510" s="735"/>
      <c r="T510" s="735"/>
      <c r="U510" s="735"/>
      <c r="V510" s="735"/>
      <c r="W510" s="735"/>
      <c r="X510" s="735"/>
      <c r="Y510" s="735"/>
      <c r="Z510" s="616"/>
      <c r="AA510" s="616"/>
      <c r="AB510" s="616"/>
      <c r="AC510" s="616"/>
    </row>
    <row r="511" spans="1:30" ht="12.75" hidden="1" customHeight="1">
      <c r="A511" s="1" t="s">
        <v>297</v>
      </c>
      <c r="F511" s="707">
        <v>2183310</v>
      </c>
      <c r="G511" s="707">
        <v>88018</v>
      </c>
      <c r="H511" s="707">
        <v>224167</v>
      </c>
      <c r="I511" s="707">
        <v>123481</v>
      </c>
      <c r="J511" s="707">
        <v>764262</v>
      </c>
      <c r="K511" s="707">
        <v>201491</v>
      </c>
      <c r="L511" s="707">
        <v>324919</v>
      </c>
      <c r="M511" s="707">
        <v>1584944</v>
      </c>
      <c r="N511" s="707">
        <v>209067</v>
      </c>
      <c r="O511" s="707">
        <v>278813</v>
      </c>
      <c r="P511" s="707">
        <v>523774</v>
      </c>
      <c r="Q511" s="707">
        <v>482401</v>
      </c>
      <c r="R511" s="860">
        <v>0</v>
      </c>
      <c r="S511" s="860">
        <v>0</v>
      </c>
      <c r="T511" s="860">
        <v>0</v>
      </c>
      <c r="U511" s="860">
        <v>0</v>
      </c>
      <c r="V511" s="860">
        <v>0</v>
      </c>
      <c r="W511" s="860">
        <v>0</v>
      </c>
      <c r="X511" s="860">
        <v>0</v>
      </c>
      <c r="Y511" s="735">
        <v>0</v>
      </c>
      <c r="Z511" s="616">
        <v>-461000</v>
      </c>
      <c r="AA511" s="616">
        <v>-106000</v>
      </c>
      <c r="AB511" s="616">
        <v>-177000</v>
      </c>
      <c r="AC511" s="616"/>
      <c r="AD511" s="14">
        <v>-142000</v>
      </c>
    </row>
    <row r="512" spans="1:30" ht="12.75" hidden="1" customHeight="1">
      <c r="F512" s="616"/>
      <c r="G512" s="616"/>
      <c r="H512" s="616"/>
      <c r="I512" s="616"/>
      <c r="J512" s="616"/>
      <c r="K512" s="616"/>
      <c r="L512" s="616"/>
      <c r="M512" s="616"/>
      <c r="N512" s="616"/>
      <c r="O512" s="616"/>
      <c r="P512" s="616"/>
      <c r="Q512" s="616"/>
      <c r="R512" s="735"/>
      <c r="S512" s="735"/>
      <c r="T512" s="735"/>
      <c r="U512" s="735"/>
      <c r="V512" s="735"/>
      <c r="W512" s="735"/>
      <c r="X512" s="735"/>
      <c r="Y512" s="735"/>
      <c r="Z512" s="616"/>
      <c r="AA512" s="616"/>
      <c r="AB512" s="616"/>
      <c r="AC512" s="616"/>
    </row>
    <row r="513" spans="1:29" ht="12.75" hidden="1" customHeight="1">
      <c r="A513" s="1" t="s">
        <v>298</v>
      </c>
      <c r="F513" s="616"/>
      <c r="G513" s="616"/>
      <c r="H513" s="616"/>
      <c r="I513" s="616"/>
      <c r="J513" s="616"/>
      <c r="K513" s="616"/>
      <c r="L513" s="34"/>
      <c r="M513" s="34"/>
      <c r="N513" s="34"/>
      <c r="O513" s="34"/>
      <c r="P513" s="34"/>
      <c r="Q513" s="34"/>
      <c r="R513" s="709"/>
      <c r="S513" s="735"/>
      <c r="T513" s="735"/>
      <c r="U513" s="735"/>
      <c r="V513" s="735"/>
      <c r="W513" s="735"/>
      <c r="X513" s="709"/>
      <c r="Y513" s="735"/>
      <c r="Z513" s="616"/>
      <c r="AA513" s="616"/>
      <c r="AB513" s="616"/>
      <c r="AC513" s="616"/>
    </row>
    <row r="514" spans="1:29" ht="12.75" hidden="1" customHeight="1">
      <c r="A514" t="s">
        <v>299</v>
      </c>
      <c r="F514" s="616"/>
      <c r="G514" s="616">
        <v>0</v>
      </c>
      <c r="H514" s="616">
        <v>101274</v>
      </c>
      <c r="I514" s="616">
        <v>500929</v>
      </c>
      <c r="J514" s="616">
        <v>702525</v>
      </c>
      <c r="K514" s="616">
        <v>523388</v>
      </c>
      <c r="L514" s="616">
        <v>211831</v>
      </c>
      <c r="M514" s="616">
        <v>0</v>
      </c>
      <c r="N514" s="616">
        <v>0</v>
      </c>
      <c r="O514" s="616">
        <v>250000</v>
      </c>
      <c r="P514" s="616">
        <v>575790</v>
      </c>
      <c r="Q514" s="616">
        <v>564281</v>
      </c>
      <c r="R514" s="735"/>
      <c r="S514" s="735"/>
      <c r="T514" s="735"/>
      <c r="U514" s="735"/>
      <c r="V514" s="735"/>
      <c r="W514" s="735"/>
      <c r="X514" s="735"/>
      <c r="Y514" s="735"/>
      <c r="Z514" s="616">
        <v>100000</v>
      </c>
      <c r="AA514" s="616">
        <v>226000</v>
      </c>
      <c r="AB514" s="616">
        <v>356000</v>
      </c>
      <c r="AC514" s="616"/>
    </row>
    <row r="515" spans="1:29" ht="12.75" hidden="1" customHeight="1">
      <c r="F515" s="616"/>
      <c r="G515" s="616"/>
      <c r="H515" s="616"/>
      <c r="I515" s="616"/>
      <c r="J515" s="616"/>
      <c r="K515" s="616"/>
      <c r="L515" s="616"/>
      <c r="M515" s="616"/>
      <c r="N515" s="616"/>
      <c r="O515" s="616"/>
      <c r="P515" s="616"/>
      <c r="Q515" s="616"/>
      <c r="R515" s="735"/>
      <c r="S515" s="735"/>
      <c r="T515" s="735"/>
      <c r="U515" s="735"/>
      <c r="V515" s="735"/>
      <c r="W515" s="735"/>
      <c r="X515" s="735"/>
      <c r="Y515" s="735"/>
      <c r="Z515" s="616"/>
      <c r="AA515" s="616"/>
      <c r="AB515" s="616"/>
      <c r="AC515" s="616"/>
    </row>
    <row r="516" spans="1:29" ht="12.75" hidden="1" customHeight="1">
      <c r="A516" t="s">
        <v>300</v>
      </c>
      <c r="F516" s="616">
        <v>0</v>
      </c>
      <c r="G516" s="616">
        <v>-49510</v>
      </c>
      <c r="H516" s="616">
        <v>-23198</v>
      </c>
      <c r="I516" s="616">
        <v>-281049</v>
      </c>
      <c r="J516" s="616">
        <v>-100012</v>
      </c>
      <c r="K516" s="616">
        <v>-582161</v>
      </c>
      <c r="L516" s="616">
        <v>-154741</v>
      </c>
      <c r="M516" s="616">
        <v>-615364</v>
      </c>
      <c r="N516" s="616">
        <v>0</v>
      </c>
      <c r="O516" s="616">
        <v>0</v>
      </c>
      <c r="P516" s="616">
        <v>-406425</v>
      </c>
      <c r="Q516" s="616">
        <v>-197727</v>
      </c>
      <c r="R516" s="735"/>
      <c r="S516" s="735"/>
      <c r="T516" s="735"/>
      <c r="U516" s="735"/>
      <c r="V516" s="735"/>
      <c r="W516" s="735"/>
      <c r="X516" s="735"/>
      <c r="Y516" s="735"/>
      <c r="Z516" s="616">
        <v>-525000</v>
      </c>
      <c r="AA516" s="616">
        <v>-184000</v>
      </c>
      <c r="AB516" s="616">
        <v>-623000</v>
      </c>
      <c r="AC516" s="616"/>
    </row>
    <row r="517" spans="1:29" ht="12.75" hidden="1" customHeight="1">
      <c r="A517" t="s">
        <v>301</v>
      </c>
      <c r="F517" s="616"/>
      <c r="G517" s="616"/>
      <c r="H517" s="616"/>
      <c r="I517" s="616"/>
      <c r="J517" s="616"/>
      <c r="K517" s="616"/>
      <c r="L517" s="616"/>
      <c r="M517" s="616"/>
      <c r="N517" s="616"/>
      <c r="O517" s="616"/>
      <c r="P517" s="616"/>
      <c r="Q517" s="616"/>
      <c r="R517" s="735"/>
      <c r="S517" s="735"/>
      <c r="T517" s="735"/>
      <c r="U517" s="735"/>
      <c r="V517" s="735"/>
      <c r="W517" s="735"/>
      <c r="X517" s="735"/>
      <c r="Y517" s="735"/>
      <c r="Z517" s="616"/>
      <c r="AA517" s="616"/>
      <c r="AB517" s="616"/>
      <c r="AC517" s="616"/>
    </row>
    <row r="518" spans="1:29" ht="12.75" hidden="1" customHeight="1">
      <c r="A518" t="s">
        <v>269</v>
      </c>
      <c r="F518" s="616">
        <v>-49033</v>
      </c>
      <c r="G518" s="616">
        <v>-132910</v>
      </c>
      <c r="H518" s="616">
        <v>-68394</v>
      </c>
      <c r="I518" s="616">
        <v>-173479</v>
      </c>
      <c r="J518" s="616">
        <v>-77230</v>
      </c>
      <c r="K518" s="616"/>
      <c r="L518" s="616">
        <v>-148830</v>
      </c>
      <c r="M518" s="616">
        <v>-879406</v>
      </c>
      <c r="N518" s="616">
        <v>-367893</v>
      </c>
      <c r="O518" s="616">
        <v>-297897</v>
      </c>
      <c r="P518" s="616">
        <v>-30000</v>
      </c>
      <c r="Q518" s="616">
        <v>-353492</v>
      </c>
      <c r="R518" s="735"/>
      <c r="S518" s="735"/>
      <c r="T518" s="735"/>
      <c r="U518" s="735"/>
      <c r="V518" s="735"/>
      <c r="W518" s="735"/>
      <c r="X518" s="735"/>
      <c r="Y518" s="735"/>
      <c r="Z518" s="616">
        <v>-251000</v>
      </c>
      <c r="AA518" s="616">
        <v>-280000</v>
      </c>
      <c r="AB518" s="616">
        <v>-274000</v>
      </c>
      <c r="AC518" s="616"/>
    </row>
    <row r="519" spans="1:29" ht="12.75" hidden="1" customHeight="1">
      <c r="A519" t="s">
        <v>302</v>
      </c>
      <c r="F519" s="34"/>
      <c r="G519" s="34"/>
      <c r="H519" s="34"/>
      <c r="I519" s="34"/>
      <c r="J519" s="34"/>
      <c r="K519" s="34"/>
      <c r="L519" s="616"/>
      <c r="M519" s="707"/>
      <c r="N519" s="707"/>
      <c r="O519" s="707"/>
      <c r="P519" s="707"/>
      <c r="Q519" s="707"/>
      <c r="R519" s="860"/>
      <c r="S519" s="860"/>
      <c r="T519" s="735"/>
      <c r="U519" s="735"/>
      <c r="V519" s="735"/>
      <c r="W519" s="735"/>
      <c r="X519" s="735"/>
      <c r="Y519" s="735"/>
      <c r="Z519" s="616"/>
      <c r="AA519" s="616"/>
      <c r="AB519" s="616"/>
      <c r="AC519" s="616"/>
    </row>
    <row r="520" spans="1:29" ht="12.75" hidden="1" customHeight="1">
      <c r="A520" t="s">
        <v>303</v>
      </c>
      <c r="F520" s="616">
        <v>1600000</v>
      </c>
      <c r="G520" s="616"/>
      <c r="H520" s="616"/>
      <c r="I520" s="616"/>
      <c r="J520" s="616"/>
      <c r="K520" s="616"/>
      <c r="L520" s="616"/>
      <c r="M520" s="616"/>
      <c r="N520" s="616"/>
      <c r="O520" s="616"/>
      <c r="P520" s="616"/>
      <c r="Q520" s="616"/>
      <c r="R520" s="735"/>
      <c r="S520" s="735"/>
      <c r="T520" s="735"/>
      <c r="U520" s="735"/>
      <c r="V520" s="735"/>
      <c r="W520" s="735"/>
      <c r="X520" s="735"/>
      <c r="Y520" s="735"/>
      <c r="Z520" s="616"/>
      <c r="AA520" s="616">
        <v>0</v>
      </c>
      <c r="AB520" s="616">
        <v>392000</v>
      </c>
      <c r="AC520" s="616"/>
    </row>
    <row r="521" spans="1:29" ht="12.75" hidden="1" customHeight="1">
      <c r="A521" t="s">
        <v>304</v>
      </c>
      <c r="F521" s="616">
        <v>527411</v>
      </c>
      <c r="G521" s="34"/>
      <c r="H521" s="34"/>
      <c r="I521" s="34"/>
      <c r="J521" s="34"/>
      <c r="K521" s="34"/>
      <c r="L521" s="34"/>
      <c r="M521" s="34"/>
      <c r="N521" s="34"/>
      <c r="O521" s="34"/>
      <c r="P521" s="34"/>
      <c r="Q521" s="34"/>
      <c r="R521" s="709"/>
      <c r="S521" s="709"/>
      <c r="T521" s="709"/>
      <c r="U521" s="709"/>
      <c r="V521" s="709"/>
      <c r="W521" s="709"/>
      <c r="X521" s="709"/>
      <c r="Y521" s="735"/>
      <c r="Z521" s="616"/>
      <c r="AA521" s="616"/>
      <c r="AB521" s="616"/>
      <c r="AC521" s="616"/>
    </row>
    <row r="522" spans="1:29" ht="12.75" hidden="1" customHeight="1">
      <c r="F522" s="616"/>
      <c r="G522" s="34"/>
      <c r="H522" s="34"/>
      <c r="I522" s="34"/>
      <c r="J522" s="34"/>
      <c r="K522" s="34"/>
      <c r="L522" s="34"/>
      <c r="M522" s="34"/>
      <c r="N522" s="34"/>
      <c r="O522" s="34"/>
      <c r="P522" s="34"/>
      <c r="Q522" s="34"/>
      <c r="R522" s="709"/>
      <c r="S522" s="709"/>
      <c r="T522" s="709"/>
      <c r="U522" s="709"/>
      <c r="V522" s="709"/>
      <c r="W522" s="709"/>
      <c r="X522" s="709"/>
      <c r="Y522" s="735"/>
      <c r="Z522" s="616"/>
      <c r="AA522" s="616"/>
      <c r="AB522" s="616"/>
      <c r="AC522" s="616"/>
    </row>
    <row r="523" spans="1:29" ht="12.75" hidden="1" customHeight="1">
      <c r="A523" s="1" t="s">
        <v>305</v>
      </c>
      <c r="F523" s="707">
        <v>2078378</v>
      </c>
      <c r="G523" s="707">
        <v>-182420</v>
      </c>
      <c r="H523" s="707">
        <v>9682</v>
      </c>
      <c r="I523" s="707">
        <v>46401</v>
      </c>
      <c r="J523" s="707">
        <v>525283</v>
      </c>
      <c r="K523" s="707">
        <v>-58773</v>
      </c>
      <c r="L523" s="707">
        <v>-91740</v>
      </c>
      <c r="M523" s="707">
        <v>-1494770</v>
      </c>
      <c r="N523" s="707">
        <v>-367893</v>
      </c>
      <c r="O523" s="707">
        <v>-47897</v>
      </c>
      <c r="P523" s="707">
        <v>139365</v>
      </c>
      <c r="Q523" s="707">
        <v>13062</v>
      </c>
      <c r="R523" s="860"/>
      <c r="S523" s="860"/>
      <c r="T523" s="860"/>
      <c r="U523" s="860"/>
      <c r="V523" s="860"/>
      <c r="W523" s="860"/>
      <c r="X523" s="860"/>
      <c r="Y523" s="735">
        <v>0</v>
      </c>
      <c r="Z523" s="616">
        <v>-676000</v>
      </c>
      <c r="AA523" s="616">
        <v>-238000</v>
      </c>
      <c r="AB523" s="616">
        <v>-149000</v>
      </c>
      <c r="AC523" s="616"/>
    </row>
    <row r="524" spans="1:29" ht="12.75" hidden="1" customHeight="1">
      <c r="F524" s="616"/>
      <c r="G524" s="616"/>
      <c r="H524" s="616"/>
      <c r="I524" s="616"/>
      <c r="J524" s="616"/>
      <c r="K524" s="616"/>
      <c r="L524" s="34"/>
      <c r="M524" s="34"/>
      <c r="N524" s="34"/>
      <c r="O524" s="34"/>
      <c r="P524" s="34"/>
      <c r="Q524" s="34"/>
      <c r="R524" s="709"/>
      <c r="S524" s="709"/>
      <c r="T524" s="709"/>
      <c r="U524" s="709"/>
      <c r="V524" s="709"/>
      <c r="W524" s="709"/>
      <c r="X524" s="709"/>
      <c r="Y524" s="735"/>
      <c r="Z524" s="616"/>
      <c r="AA524" s="616"/>
      <c r="AB524" s="616"/>
      <c r="AC524" s="616"/>
    </row>
    <row r="525" spans="1:29" ht="12.75" hidden="1" customHeight="1">
      <c r="A525" t="s">
        <v>306</v>
      </c>
      <c r="F525" s="616">
        <v>9270</v>
      </c>
      <c r="G525" s="616">
        <v>-61336</v>
      </c>
      <c r="H525" s="616">
        <v>19056</v>
      </c>
      <c r="I525" s="616">
        <v>-43045</v>
      </c>
      <c r="J525" s="616">
        <v>45197</v>
      </c>
      <c r="K525" s="616">
        <v>48753</v>
      </c>
      <c r="L525" s="616">
        <v>-67479</v>
      </c>
      <c r="M525" s="616">
        <v>-1289264</v>
      </c>
      <c r="N525" s="616">
        <v>-216925</v>
      </c>
      <c r="O525" s="616">
        <v>19554</v>
      </c>
      <c r="P525" s="616">
        <v>-47375</v>
      </c>
      <c r="Q525" s="616">
        <v>-5499</v>
      </c>
      <c r="R525" s="735"/>
      <c r="S525" s="735"/>
      <c r="T525" s="735"/>
      <c r="U525" s="735"/>
      <c r="V525" s="735"/>
      <c r="W525" s="735"/>
      <c r="X525" s="735"/>
      <c r="Y525" s="735">
        <v>0</v>
      </c>
      <c r="Z525" s="703">
        <v>44000</v>
      </c>
      <c r="AA525" s="616">
        <v>-3000</v>
      </c>
      <c r="AB525" s="616">
        <v>106000</v>
      </c>
      <c r="AC525" s="616"/>
    </row>
    <row r="526" spans="1:29" ht="12.75" hidden="1" customHeight="1">
      <c r="F526" s="34"/>
      <c r="G526" s="34"/>
      <c r="H526" s="34"/>
      <c r="I526" s="34"/>
      <c r="J526" s="34"/>
      <c r="K526" s="34"/>
      <c r="L526" s="34"/>
      <c r="M526" s="616"/>
      <c r="N526" s="616"/>
      <c r="O526" s="616"/>
      <c r="P526" s="616"/>
      <c r="Q526" s="616"/>
      <c r="R526" s="709"/>
      <c r="S526" s="735"/>
      <c r="T526" s="735"/>
      <c r="U526" s="735"/>
      <c r="V526" s="709"/>
      <c r="W526" s="709"/>
      <c r="X526" s="709"/>
      <c r="Y526" s="735"/>
      <c r="Z526" s="616"/>
      <c r="AA526" s="616"/>
      <c r="AB526" s="616"/>
      <c r="AC526" s="616"/>
    </row>
    <row r="527" spans="1:29" ht="12.75" hidden="1" customHeight="1">
      <c r="A527" t="s">
        <v>307</v>
      </c>
      <c r="F527" s="34">
        <v>0</v>
      </c>
      <c r="G527" s="616">
        <v>93759</v>
      </c>
      <c r="H527" s="616">
        <v>33562</v>
      </c>
      <c r="I527" s="616">
        <v>52829</v>
      </c>
      <c r="J527" s="616">
        <v>9962</v>
      </c>
      <c r="K527" s="616">
        <v>55337</v>
      </c>
      <c r="L527" s="616">
        <v>104262</v>
      </c>
      <c r="M527" s="616">
        <v>40827</v>
      </c>
      <c r="N527" s="616">
        <v>251824</v>
      </c>
      <c r="O527" s="616">
        <v>48553</v>
      </c>
      <c r="P527" s="616">
        <v>71742</v>
      </c>
      <c r="Q527" s="616">
        <v>47877</v>
      </c>
      <c r="R527" s="735"/>
      <c r="S527" s="735"/>
      <c r="T527" s="735"/>
      <c r="U527" s="735"/>
      <c r="V527" s="735"/>
      <c r="W527" s="735"/>
      <c r="X527" s="735"/>
      <c r="Y527" s="735"/>
      <c r="Z527" s="616">
        <v>3000</v>
      </c>
      <c r="AA527" s="616">
        <v>47000</v>
      </c>
      <c r="AB527" s="616">
        <v>44000</v>
      </c>
      <c r="AC527" s="616"/>
    </row>
    <row r="528" spans="1:29" ht="12.75" hidden="1" customHeight="1">
      <c r="A528" t="s">
        <v>308</v>
      </c>
      <c r="F528" s="616"/>
      <c r="G528" s="616"/>
      <c r="H528" s="616"/>
      <c r="I528" s="616"/>
      <c r="J528" s="616"/>
      <c r="K528" s="616"/>
      <c r="L528" s="616"/>
      <c r="M528" s="616"/>
      <c r="N528" s="616"/>
      <c r="O528" s="616"/>
      <c r="P528" s="616"/>
      <c r="Q528" s="616"/>
      <c r="R528" s="735"/>
      <c r="S528" s="735"/>
      <c r="T528" s="735"/>
      <c r="U528" s="735"/>
      <c r="V528" s="735"/>
      <c r="W528" s="735"/>
      <c r="X528" s="735"/>
      <c r="Y528" s="735"/>
      <c r="Z528" s="616"/>
      <c r="AA528" s="616"/>
      <c r="AB528" s="616"/>
      <c r="AC528" s="616"/>
    </row>
    <row r="529" spans="1:29" ht="12.75" hidden="1" customHeight="1">
      <c r="A529" t="s">
        <v>309</v>
      </c>
      <c r="F529" s="616"/>
      <c r="G529" s="616"/>
      <c r="H529" s="616"/>
      <c r="I529" s="616"/>
      <c r="J529" s="616"/>
      <c r="K529" s="616"/>
      <c r="L529" s="616"/>
      <c r="M529" s="616"/>
      <c r="N529" s="616"/>
      <c r="O529" s="616"/>
      <c r="P529" s="616"/>
      <c r="Q529" s="616"/>
      <c r="R529" s="735"/>
      <c r="S529" s="735"/>
      <c r="T529" s="735"/>
      <c r="U529" s="735"/>
      <c r="V529" s="735"/>
      <c r="W529" s="735"/>
      <c r="X529" s="735"/>
      <c r="Y529" s="735"/>
      <c r="Z529" s="616"/>
      <c r="AA529" s="616"/>
      <c r="AB529" s="616"/>
      <c r="AC529" s="616"/>
    </row>
    <row r="530" spans="1:29" ht="12.75" hidden="1" customHeight="1">
      <c r="A530" t="s">
        <v>310</v>
      </c>
      <c r="F530" s="616"/>
      <c r="G530" s="616"/>
      <c r="H530" s="616"/>
      <c r="I530" s="616"/>
      <c r="J530" s="616"/>
      <c r="K530" s="616"/>
      <c r="L530" s="616"/>
      <c r="M530" s="616"/>
      <c r="N530" s="616"/>
      <c r="O530" s="616"/>
      <c r="P530" s="616"/>
      <c r="Q530" s="616"/>
      <c r="R530" s="735"/>
      <c r="S530" s="735"/>
      <c r="T530" s="735"/>
      <c r="U530" s="735"/>
      <c r="V530" s="735"/>
      <c r="W530" s="735"/>
      <c r="X530" s="735"/>
      <c r="Y530" s="735"/>
      <c r="Z530" s="616"/>
      <c r="AA530" s="616"/>
      <c r="AB530" s="616"/>
      <c r="AC530" s="616"/>
    </row>
    <row r="531" spans="1:29" ht="12.75" hidden="1" customHeight="1">
      <c r="F531" s="616"/>
      <c r="G531" s="616"/>
      <c r="H531" s="616"/>
      <c r="I531" s="616"/>
      <c r="J531" s="616"/>
      <c r="K531" s="616"/>
      <c r="L531" s="616"/>
      <c r="M531" s="616"/>
      <c r="N531" s="616"/>
      <c r="O531" s="616"/>
      <c r="P531" s="616"/>
      <c r="Q531" s="616"/>
      <c r="R531" s="735"/>
      <c r="S531" s="735"/>
      <c r="T531" s="735"/>
      <c r="U531" s="735"/>
      <c r="V531" s="735"/>
      <c r="W531" s="735"/>
      <c r="X531" s="735"/>
      <c r="Y531" s="735"/>
      <c r="Z531" s="616"/>
      <c r="AA531" s="616"/>
      <c r="AB531" s="616"/>
      <c r="AC531" s="616"/>
    </row>
    <row r="532" spans="1:29" ht="13.5" hidden="1" customHeight="1" thickBot="1">
      <c r="A532" s="1" t="s">
        <v>311</v>
      </c>
      <c r="F532" s="725">
        <v>9270</v>
      </c>
      <c r="G532" s="725">
        <v>32423</v>
      </c>
      <c r="H532" s="725">
        <v>52618</v>
      </c>
      <c r="I532" s="725">
        <v>9784</v>
      </c>
      <c r="J532" s="725">
        <v>55159</v>
      </c>
      <c r="K532" s="725">
        <v>104090</v>
      </c>
      <c r="L532" s="725">
        <v>36783</v>
      </c>
      <c r="M532" s="725">
        <v>-1248437</v>
      </c>
      <c r="N532" s="725">
        <v>34899</v>
      </c>
      <c r="O532" s="725">
        <v>68107</v>
      </c>
      <c r="P532" s="725">
        <v>24367</v>
      </c>
      <c r="Q532" s="725">
        <v>42378</v>
      </c>
      <c r="R532" s="1118">
        <v>0</v>
      </c>
      <c r="S532" s="1118">
        <v>0</v>
      </c>
      <c r="T532" s="1118">
        <v>0</v>
      </c>
      <c r="U532" s="1118">
        <v>0</v>
      </c>
      <c r="V532" s="1118">
        <v>0</v>
      </c>
      <c r="W532" s="1118">
        <v>0</v>
      </c>
      <c r="X532" s="1118">
        <v>0</v>
      </c>
      <c r="Y532" s="1118">
        <v>0</v>
      </c>
      <c r="Z532" s="725">
        <v>47000</v>
      </c>
      <c r="AA532" s="725">
        <v>44000</v>
      </c>
      <c r="AB532" s="725">
        <v>150000</v>
      </c>
      <c r="AC532" s="616"/>
    </row>
    <row r="533" spans="1:29" ht="56.65" hidden="1" customHeight="1">
      <c r="A533" s="4"/>
      <c r="B533" s="4"/>
      <c r="C533" s="4"/>
      <c r="D533" s="4" t="s">
        <v>93</v>
      </c>
      <c r="E533" s="4"/>
      <c r="F533" s="702">
        <v>93759</v>
      </c>
      <c r="G533" s="702">
        <v>33562</v>
      </c>
      <c r="H533" s="702">
        <v>52829</v>
      </c>
      <c r="I533" s="702">
        <v>9962</v>
      </c>
      <c r="J533" s="702">
        <v>55337</v>
      </c>
      <c r="K533" s="702">
        <v>104262</v>
      </c>
      <c r="L533" s="702"/>
      <c r="M533" s="702"/>
      <c r="N533" s="702">
        <v>48553</v>
      </c>
      <c r="O533" s="702"/>
      <c r="P533" s="702"/>
      <c r="Q533" s="702"/>
      <c r="R533" s="702"/>
      <c r="S533" s="702"/>
      <c r="T533" s="702"/>
      <c r="U533" s="702"/>
      <c r="V533" s="702"/>
      <c r="W533" s="702"/>
      <c r="X533" s="702"/>
      <c r="Y533" s="702"/>
      <c r="Z533" s="702">
        <v>47000</v>
      </c>
      <c r="AA533" s="702">
        <v>44000</v>
      </c>
      <c r="AB533" s="702">
        <v>150000</v>
      </c>
      <c r="AC533" s="616"/>
    </row>
    <row r="534" spans="1:29" ht="12.75" hidden="1" customHeight="1">
      <c r="A534" s="1110"/>
      <c r="B534" s="1110"/>
      <c r="C534" s="1110"/>
      <c r="D534" s="168"/>
      <c r="E534" s="1110"/>
      <c r="F534" s="726">
        <v>-84489</v>
      </c>
      <c r="G534" s="726">
        <v>-1139</v>
      </c>
      <c r="H534" s="726">
        <v>-211</v>
      </c>
      <c r="I534" s="726">
        <v>-178</v>
      </c>
      <c r="J534" s="726">
        <v>-178</v>
      </c>
      <c r="K534" s="726">
        <v>-172</v>
      </c>
      <c r="L534" s="707"/>
      <c r="M534" s="707"/>
      <c r="N534" s="726">
        <v>-13654</v>
      </c>
      <c r="O534" s="616"/>
      <c r="P534" s="616"/>
      <c r="Q534" s="616"/>
      <c r="R534" s="616"/>
      <c r="S534" s="616"/>
      <c r="T534" s="616"/>
      <c r="U534" s="616"/>
      <c r="V534" s="616"/>
      <c r="W534" s="616"/>
      <c r="X534" s="616"/>
      <c r="Y534" s="616">
        <v>0</v>
      </c>
      <c r="Z534" s="616">
        <v>0</v>
      </c>
      <c r="AA534" s="616">
        <v>0</v>
      </c>
      <c r="AB534" s="616">
        <v>0</v>
      </c>
      <c r="AC534" s="616"/>
    </row>
    <row r="535" spans="1:29">
      <c r="A535" s="1110"/>
      <c r="B535" s="1110"/>
      <c r="C535" s="1110"/>
      <c r="D535" s="1110"/>
      <c r="E535" s="1110"/>
      <c r="F535" s="1108"/>
      <c r="G535" s="1108"/>
      <c r="H535" s="1108"/>
      <c r="I535" s="1108"/>
      <c r="J535" s="1108"/>
      <c r="K535" s="1108"/>
      <c r="L535" s="1108"/>
      <c r="M535" s="1108"/>
      <c r="N535" s="1108"/>
      <c r="O535" s="1108"/>
      <c r="P535" s="1108"/>
      <c r="Q535" s="1108"/>
      <c r="R535" s="1108"/>
      <c r="S535" s="1108"/>
      <c r="T535" s="1108"/>
      <c r="U535" s="1108"/>
      <c r="V535" s="1108"/>
      <c r="W535" s="1108"/>
      <c r="X535" s="1108"/>
      <c r="Y535" s="616"/>
      <c r="Z535" s="616"/>
      <c r="AA535" s="616"/>
      <c r="AB535" s="616"/>
      <c r="AC535" s="616"/>
    </row>
    <row r="536" spans="1:29">
      <c r="A536" s="1110"/>
      <c r="B536" s="1110"/>
      <c r="C536" s="1110"/>
      <c r="D536" s="1110"/>
      <c r="E536" s="1110"/>
      <c r="F536" s="1108"/>
      <c r="G536" s="1108"/>
      <c r="H536" s="1108"/>
      <c r="I536" s="1108"/>
      <c r="J536" s="1108"/>
      <c r="K536" s="1108"/>
      <c r="L536" s="1108"/>
      <c r="M536" s="1108"/>
      <c r="N536" s="1108"/>
      <c r="O536" s="1108"/>
      <c r="P536" s="1108"/>
      <c r="Q536" s="1108"/>
      <c r="R536" s="1108"/>
      <c r="S536" s="1108"/>
      <c r="T536" s="1108"/>
      <c r="U536" s="1108"/>
      <c r="V536" s="1108"/>
      <c r="W536" s="1108"/>
      <c r="X536" s="1108"/>
      <c r="Y536" s="616"/>
      <c r="Z536" s="616"/>
      <c r="AA536" s="616"/>
      <c r="AB536" s="616"/>
      <c r="AC536" s="616"/>
    </row>
    <row r="537" spans="1:29">
      <c r="A537" s="1110"/>
      <c r="B537" s="1110"/>
      <c r="C537" s="1110"/>
      <c r="D537" s="1110"/>
      <c r="E537" s="1110"/>
      <c r="F537" s="1108"/>
      <c r="G537" s="1108"/>
      <c r="H537" s="1108"/>
      <c r="I537" s="1108"/>
      <c r="J537" s="1108"/>
      <c r="K537" s="1108"/>
      <c r="L537" s="1108"/>
      <c r="M537" s="1108"/>
      <c r="N537" s="1108"/>
      <c r="O537" s="1108"/>
      <c r="P537" s="1108"/>
      <c r="Q537" s="1108"/>
      <c r="R537" s="1108"/>
      <c r="S537" s="1108"/>
      <c r="T537" s="1108"/>
      <c r="U537" s="1108"/>
      <c r="V537" s="1108"/>
      <c r="W537" s="1108"/>
      <c r="X537" s="1108"/>
      <c r="Y537" s="616"/>
      <c r="Z537" s="616"/>
      <c r="AA537" s="616"/>
      <c r="AB537" s="616"/>
      <c r="AC537" s="616"/>
    </row>
    <row r="538" spans="1:29">
      <c r="A538" s="1110"/>
      <c r="B538" s="1110"/>
      <c r="C538" s="1110"/>
      <c r="D538" s="1110"/>
      <c r="E538" s="1110"/>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row>
    <row r="539" spans="1:29">
      <c r="F539" s="34"/>
      <c r="G539" s="34"/>
      <c r="H539" s="34"/>
      <c r="I539" s="34"/>
      <c r="J539" s="34"/>
      <c r="K539" s="34"/>
      <c r="L539" s="34"/>
      <c r="M539" s="34"/>
      <c r="N539" s="34"/>
      <c r="O539" s="34"/>
      <c r="P539" s="34"/>
      <c r="Q539" s="34"/>
      <c r="R539" s="34"/>
      <c r="S539" s="34"/>
      <c r="T539" s="34"/>
      <c r="U539" s="34"/>
      <c r="V539" s="34"/>
      <c r="W539" s="34"/>
      <c r="X539" s="34"/>
      <c r="Y539" s="34"/>
      <c r="Z539" s="34"/>
      <c r="AA539" s="34"/>
      <c r="AB539" s="34"/>
    </row>
    <row r="540" spans="1:29">
      <c r="F540" s="34"/>
      <c r="G540" s="34"/>
      <c r="H540" s="34"/>
      <c r="I540" s="34"/>
      <c r="J540" s="34"/>
      <c r="K540" s="34"/>
      <c r="L540" s="34"/>
      <c r="M540" s="34"/>
      <c r="N540" s="34"/>
      <c r="O540" s="34"/>
      <c r="P540" s="34"/>
      <c r="Q540" s="34"/>
      <c r="R540" s="34"/>
      <c r="S540" s="34"/>
      <c r="T540" s="34"/>
      <c r="U540" s="34"/>
      <c r="V540" s="34"/>
      <c r="W540" s="34"/>
      <c r="X540" s="34"/>
      <c r="Y540" s="34"/>
      <c r="Z540" s="34"/>
      <c r="AA540" s="34"/>
      <c r="AB540" s="34"/>
    </row>
  </sheetData>
  <customSheetViews>
    <customSheetView guid="{5826E3E6-173D-429F-ABE1-D868EE9E034B}" scale="95" fitToPage="1" hiddenColumns="1" topLeftCell="J31">
      <selection activeCell="R18" sqref="R18"/>
      <pageMargins left="0" right="0" top="0" bottom="0" header="0" footer="0"/>
      <pageSetup paperSize="9" scale="80" orientation="landscape" r:id="rId1"/>
      <headerFooter alignWithMargins="0"/>
    </customSheetView>
  </customSheetViews>
  <mergeCells count="11">
    <mergeCell ref="W200:AA200"/>
    <mergeCell ref="W137:AA137"/>
    <mergeCell ref="W172:AA172"/>
    <mergeCell ref="W1:AA1"/>
    <mergeCell ref="W40:AA40"/>
    <mergeCell ref="W69:AA69"/>
    <mergeCell ref="W351:AA351"/>
    <mergeCell ref="W236:AA236"/>
    <mergeCell ref="W276:AA276"/>
    <mergeCell ref="W331:AA331"/>
    <mergeCell ref="W310:AA310"/>
  </mergeCells>
  <phoneticPr fontId="2" type="noConversion"/>
  <printOptions horizontalCentered="1" headings="1" gridLines="1"/>
  <pageMargins left="0.25" right="0.25" top="0.75" bottom="0.50749999999999995" header="0.3" footer="0.3"/>
  <pageSetup paperSize="9" scale="70" fitToHeight="0" orientation="portrait" cellComments="atEnd" r:id="rId2"/>
  <rowBreaks count="8" manualBreakCount="8">
    <brk id="68" max="27" man="1"/>
    <brk id="136" max="27" man="1"/>
    <brk id="199" max="29" man="1"/>
    <brk id="235" max="29" man="1"/>
    <brk id="309" max="27" man="1"/>
    <brk id="465" max="29" man="1"/>
    <brk id="497" max="29" man="1"/>
    <brk id="534" max="27"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ECFA-A1AD-42D5-852C-FFD4ED7F10B3}">
  <sheetPr>
    <tabColor rgb="FFFFFF00"/>
    <pageSetUpPr fitToPage="1"/>
  </sheetPr>
  <dimension ref="A1:AE144"/>
  <sheetViews>
    <sheetView view="pageBreakPreview" zoomScale="90" zoomScaleNormal="100" zoomScaleSheetLayoutView="90" workbookViewId="0">
      <selection sqref="A1:D1"/>
    </sheetView>
  </sheetViews>
  <sheetFormatPr defaultRowHeight="12.75"/>
  <cols>
    <col min="1" max="1" width="4.5703125" customWidth="1"/>
    <col min="2" max="2" width="4" customWidth="1"/>
    <col min="3" max="3" width="6.85546875" customWidth="1"/>
    <col min="4" max="4" width="14" customWidth="1"/>
    <col min="5" max="5" width="5.85546875" customWidth="1"/>
    <col min="6" max="6" width="8.85546875" hidden="1" customWidth="1"/>
    <col min="7" max="7" width="9" hidden="1" customWidth="1"/>
    <col min="8" max="17" width="8.85546875" hidden="1" customWidth="1"/>
    <col min="18" max="28" width="10.42578125" customWidth="1"/>
    <col min="29" max="29" width="7.5703125" bestFit="1" customWidth="1"/>
    <col min="30" max="30" width="9" bestFit="1" customWidth="1"/>
  </cols>
  <sheetData>
    <row r="1" spans="1:31" ht="26.25">
      <c r="A1" s="1581" t="s">
        <v>0</v>
      </c>
      <c r="B1" s="1582"/>
      <c r="C1" s="1582"/>
      <c r="D1" s="1583"/>
      <c r="E1" s="1589"/>
      <c r="F1" s="1590"/>
      <c r="G1" s="1590"/>
      <c r="H1" s="1590"/>
      <c r="I1" s="1590"/>
      <c r="J1" s="1590"/>
      <c r="K1" s="1590"/>
      <c r="L1" s="1590"/>
      <c r="M1" s="1590"/>
      <c r="N1" s="1590"/>
      <c r="O1" s="1590"/>
      <c r="P1" s="1590"/>
      <c r="Q1" s="1590"/>
      <c r="R1" s="1590"/>
      <c r="S1" s="1590"/>
      <c r="T1" s="1551"/>
      <c r="U1" s="1551"/>
      <c r="V1" s="1225"/>
      <c r="W1" s="1584" t="s">
        <v>318</v>
      </c>
      <c r="X1" s="1585"/>
      <c r="Y1" s="1585"/>
      <c r="Z1" s="1585"/>
      <c r="AA1" s="1586"/>
      <c r="AB1" s="1084">
        <v>5</v>
      </c>
    </row>
    <row r="2" spans="1:31" ht="15.75">
      <c r="A2" s="630" t="s">
        <v>8</v>
      </c>
      <c r="B2" s="747"/>
      <c r="C2" s="748"/>
      <c r="D2" s="749"/>
      <c r="E2" s="34"/>
      <c r="F2" s="34">
        <v>0</v>
      </c>
      <c r="G2" s="34">
        <v>1</v>
      </c>
      <c r="H2" s="34">
        <v>2</v>
      </c>
      <c r="I2" s="34">
        <v>3</v>
      </c>
      <c r="J2" s="34">
        <v>4</v>
      </c>
      <c r="K2" s="34">
        <v>5</v>
      </c>
      <c r="L2" s="34">
        <v>6</v>
      </c>
      <c r="M2" s="34">
        <v>7</v>
      </c>
      <c r="N2" s="34">
        <v>8</v>
      </c>
      <c r="O2" s="34">
        <v>9</v>
      </c>
      <c r="P2" s="34">
        <v>10</v>
      </c>
      <c r="Q2" s="34">
        <v>11</v>
      </c>
      <c r="R2" s="34">
        <v>0</v>
      </c>
      <c r="S2" s="34">
        <v>1</v>
      </c>
      <c r="T2" s="34">
        <v>2</v>
      </c>
      <c r="U2" s="34">
        <v>3</v>
      </c>
      <c r="V2" s="34">
        <v>4</v>
      </c>
      <c r="W2" s="34">
        <v>5</v>
      </c>
      <c r="X2" s="34">
        <v>6</v>
      </c>
      <c r="Y2" s="34">
        <v>7</v>
      </c>
      <c r="Z2" s="34">
        <v>8</v>
      </c>
      <c r="AA2" s="34">
        <v>9</v>
      </c>
      <c r="AB2" s="34">
        <v>10</v>
      </c>
    </row>
    <row r="3" spans="1:31">
      <c r="D3" s="1276" t="s">
        <v>43</v>
      </c>
      <c r="E3" s="1276" t="s">
        <v>44</v>
      </c>
      <c r="F3" s="980">
        <v>1999</v>
      </c>
      <c r="G3" s="980">
        <v>2000</v>
      </c>
      <c r="H3" s="980">
        <v>2001</v>
      </c>
      <c r="I3" s="980">
        <v>2002</v>
      </c>
      <c r="J3" s="980">
        <v>2003</v>
      </c>
      <c r="K3" s="980">
        <v>2004</v>
      </c>
      <c r="L3" s="980">
        <v>2005</v>
      </c>
      <c r="M3" s="980">
        <v>2006</v>
      </c>
      <c r="N3" s="980">
        <v>2007</v>
      </c>
      <c r="O3" s="980">
        <v>2008</v>
      </c>
      <c r="P3" s="980">
        <v>2009</v>
      </c>
      <c r="Q3" s="980">
        <v>2010</v>
      </c>
      <c r="R3" s="980">
        <v>2011</v>
      </c>
      <c r="S3" s="980">
        <v>2012</v>
      </c>
      <c r="T3" s="980">
        <v>2013</v>
      </c>
      <c r="U3" s="980">
        <v>2014</v>
      </c>
      <c r="V3" s="980">
        <v>2015</v>
      </c>
      <c r="W3" s="980">
        <v>2016</v>
      </c>
      <c r="X3" s="980">
        <v>2017</v>
      </c>
      <c r="Y3" s="980">
        <v>2018</v>
      </c>
      <c r="Z3" s="980">
        <v>2019</v>
      </c>
      <c r="AA3" s="980">
        <v>2020</v>
      </c>
      <c r="AB3" s="980">
        <v>2021</v>
      </c>
    </row>
    <row r="4" spans="1:31">
      <c r="A4" s="720" t="s">
        <v>18</v>
      </c>
      <c r="B4" s="745"/>
      <c r="C4" s="753"/>
      <c r="D4" s="753"/>
      <c r="E4" s="1276"/>
      <c r="F4" s="714"/>
      <c r="G4" s="714"/>
      <c r="H4" s="714"/>
      <c r="I4" s="714"/>
      <c r="J4" s="714"/>
      <c r="K4" s="714"/>
      <c r="L4" s="714"/>
      <c r="M4" s="714"/>
      <c r="N4" s="714"/>
      <c r="O4" s="714"/>
      <c r="P4" s="714"/>
      <c r="Q4" s="714"/>
      <c r="R4" s="714"/>
      <c r="S4" s="616"/>
      <c r="T4" s="714"/>
      <c r="U4" s="714"/>
      <c r="V4" s="714"/>
      <c r="W4" s="714"/>
      <c r="X4" s="714"/>
      <c r="Y4" s="714"/>
      <c r="Z4" s="714"/>
      <c r="AA4" s="714"/>
      <c r="AB4" s="714"/>
      <c r="AD4" s="616">
        <v>0</v>
      </c>
    </row>
    <row r="5" spans="1:31">
      <c r="A5" s="1192" t="s">
        <v>319</v>
      </c>
      <c r="B5" s="612" t="s">
        <v>320</v>
      </c>
      <c r="C5" s="750"/>
      <c r="D5" s="750"/>
      <c r="E5" s="458"/>
      <c r="F5" s="700" t="s">
        <v>46</v>
      </c>
      <c r="G5" s="700"/>
      <c r="H5" s="700"/>
      <c r="I5" s="700"/>
      <c r="J5" s="700"/>
      <c r="K5" s="700"/>
      <c r="L5" s="699"/>
      <c r="M5" s="700"/>
      <c r="N5" s="700"/>
      <c r="O5" s="700"/>
      <c r="P5" s="700"/>
      <c r="Q5" s="700"/>
      <c r="R5" s="631"/>
      <c r="S5" s="631"/>
      <c r="T5" s="631"/>
      <c r="U5" s="631"/>
      <c r="V5" s="631"/>
      <c r="W5" s="631"/>
      <c r="X5" s="631"/>
      <c r="Y5" s="631"/>
      <c r="Z5" s="631"/>
      <c r="AA5" s="616"/>
      <c r="AB5" s="1110"/>
      <c r="AC5" s="1110"/>
    </row>
    <row r="6" spans="1:31">
      <c r="A6" s="709">
        <v>1010</v>
      </c>
      <c r="B6" s="34"/>
      <c r="C6" s="34" t="s">
        <v>133</v>
      </c>
      <c r="D6" s="34"/>
      <c r="E6" s="34"/>
      <c r="F6" s="616">
        <v>93759</v>
      </c>
      <c r="G6" s="616">
        <v>33562</v>
      </c>
      <c r="H6" s="616">
        <v>52829</v>
      </c>
      <c r="I6" s="616">
        <v>9962</v>
      </c>
      <c r="J6" s="616">
        <v>55337</v>
      </c>
      <c r="K6" s="616">
        <v>104262</v>
      </c>
      <c r="L6" s="616">
        <v>40827</v>
      </c>
      <c r="M6" s="616">
        <v>251824</v>
      </c>
      <c r="N6" s="616">
        <v>44755</v>
      </c>
      <c r="O6" s="616">
        <v>71742</v>
      </c>
      <c r="P6" s="616">
        <v>47877</v>
      </c>
      <c r="Q6" s="616">
        <v>54394</v>
      </c>
      <c r="R6" s="616">
        <v>47267</v>
      </c>
      <c r="S6" s="616">
        <v>5892</v>
      </c>
      <c r="T6" s="616">
        <v>77000</v>
      </c>
      <c r="U6" s="616">
        <v>6000</v>
      </c>
      <c r="V6" s="616">
        <v>0</v>
      </c>
      <c r="W6" s="616">
        <v>2000</v>
      </c>
      <c r="X6" s="616">
        <v>0</v>
      </c>
      <c r="Y6" s="616">
        <v>0</v>
      </c>
      <c r="Z6" s="616">
        <v>30000</v>
      </c>
      <c r="AA6" s="616">
        <v>0</v>
      </c>
      <c r="AB6" s="616">
        <v>41000</v>
      </c>
    </row>
    <row r="7" spans="1:31">
      <c r="A7" s="709">
        <v>1000</v>
      </c>
      <c r="B7" s="34"/>
      <c r="C7" s="34" t="s">
        <v>134</v>
      </c>
      <c r="D7" s="34"/>
      <c r="E7" s="34"/>
      <c r="F7" s="616"/>
      <c r="G7" s="616"/>
      <c r="H7" s="616"/>
      <c r="I7" s="616"/>
      <c r="J7" s="616"/>
      <c r="K7" s="616"/>
      <c r="L7" s="616"/>
      <c r="M7" s="616"/>
      <c r="N7" s="616"/>
      <c r="O7" s="616"/>
      <c r="P7" s="616"/>
      <c r="Q7" s="616"/>
      <c r="R7" s="616">
        <v>0</v>
      </c>
      <c r="S7" s="616">
        <v>0</v>
      </c>
      <c r="T7" s="616">
        <v>3000</v>
      </c>
      <c r="U7" s="616">
        <v>6000</v>
      </c>
      <c r="V7" s="616">
        <v>4000</v>
      </c>
      <c r="W7" s="616">
        <v>3000</v>
      </c>
      <c r="X7" s="616">
        <v>6000</v>
      </c>
      <c r="Y7" s="616">
        <v>3000</v>
      </c>
      <c r="Z7" s="616">
        <v>17000</v>
      </c>
      <c r="AA7" s="616">
        <v>44000</v>
      </c>
      <c r="AB7" s="616">
        <v>109000</v>
      </c>
    </row>
    <row r="8" spans="1:31">
      <c r="A8" s="709">
        <v>1020</v>
      </c>
      <c r="B8" s="34"/>
      <c r="C8" s="34" t="s">
        <v>153</v>
      </c>
      <c r="D8" s="34"/>
      <c r="E8" s="34"/>
      <c r="F8" s="616">
        <v>0</v>
      </c>
      <c r="G8" s="616">
        <v>0</v>
      </c>
      <c r="H8" s="616">
        <v>0</v>
      </c>
      <c r="I8" s="616">
        <v>0</v>
      </c>
      <c r="J8" s="616">
        <v>0</v>
      </c>
      <c r="K8" s="616">
        <v>0</v>
      </c>
      <c r="L8" s="616">
        <v>0</v>
      </c>
      <c r="M8" s="616">
        <v>0</v>
      </c>
      <c r="N8" s="616">
        <v>16567</v>
      </c>
      <c r="O8" s="616">
        <v>11780</v>
      </c>
      <c r="P8" s="616">
        <v>6993</v>
      </c>
      <c r="Q8" s="616">
        <v>6077</v>
      </c>
      <c r="R8" s="616">
        <v>2935</v>
      </c>
      <c r="S8" s="616">
        <v>10163</v>
      </c>
      <c r="T8" s="616">
        <v>6000</v>
      </c>
      <c r="U8" s="616">
        <v>2000</v>
      </c>
      <c r="V8" s="616">
        <v>2000</v>
      </c>
      <c r="W8" s="616">
        <v>1000</v>
      </c>
      <c r="X8" s="616">
        <v>0</v>
      </c>
      <c r="Y8" s="616">
        <v>299000</v>
      </c>
      <c r="Z8" s="616">
        <v>0</v>
      </c>
      <c r="AA8" s="616">
        <v>0</v>
      </c>
      <c r="AB8" s="616">
        <v>0</v>
      </c>
    </row>
    <row r="9" spans="1:31">
      <c r="A9" s="709">
        <v>1100</v>
      </c>
      <c r="B9" s="34"/>
      <c r="C9" s="34" t="s">
        <v>1261</v>
      </c>
      <c r="D9" s="34"/>
      <c r="E9" s="34"/>
      <c r="F9" s="616">
        <v>83327</v>
      </c>
      <c r="G9" s="616">
        <v>93160</v>
      </c>
      <c r="H9" s="616">
        <v>182088</v>
      </c>
      <c r="I9" s="616">
        <v>138707</v>
      </c>
      <c r="J9" s="616">
        <v>188812</v>
      </c>
      <c r="K9" s="616">
        <v>180706</v>
      </c>
      <c r="L9" s="616">
        <v>257346</v>
      </c>
      <c r="M9" s="616">
        <v>222439</v>
      </c>
      <c r="N9" s="616">
        <v>219208</v>
      </c>
      <c r="O9" s="616">
        <v>468752</v>
      </c>
      <c r="P9" s="616">
        <v>188933</v>
      </c>
      <c r="Q9" s="616">
        <v>198663</v>
      </c>
      <c r="R9" s="616">
        <v>246530</v>
      </c>
      <c r="S9" s="616">
        <v>335548</v>
      </c>
      <c r="T9" s="616">
        <v>278000</v>
      </c>
      <c r="U9" s="616">
        <v>299000</v>
      </c>
      <c r="V9" s="616">
        <v>225000</v>
      </c>
      <c r="W9" s="616">
        <v>192000</v>
      </c>
      <c r="X9" s="616">
        <v>178000</v>
      </c>
      <c r="Y9" s="616">
        <v>161000</v>
      </c>
      <c r="Z9" s="616">
        <v>178000</v>
      </c>
      <c r="AA9" s="616">
        <v>177000</v>
      </c>
      <c r="AB9" s="616">
        <v>244000</v>
      </c>
    </row>
    <row r="10" spans="1:31">
      <c r="A10" s="709">
        <v>1110</v>
      </c>
      <c r="B10" s="34"/>
      <c r="C10" s="34" t="s">
        <v>137</v>
      </c>
      <c r="D10" s="34"/>
      <c r="E10" s="34"/>
      <c r="F10" s="702">
        <v>-543</v>
      </c>
      <c r="G10" s="702">
        <v>-1376</v>
      </c>
      <c r="H10" s="702">
        <v>-2023</v>
      </c>
      <c r="I10" s="702">
        <v>-1874</v>
      </c>
      <c r="J10" s="702">
        <v>-1906</v>
      </c>
      <c r="K10" s="702">
        <v>-2243</v>
      </c>
      <c r="L10" s="702">
        <v>-3333</v>
      </c>
      <c r="M10" s="702">
        <v>-3730</v>
      </c>
      <c r="N10" s="702">
        <v>-3057</v>
      </c>
      <c r="O10" s="702">
        <v>-2839</v>
      </c>
      <c r="P10" s="702">
        <v>-3239</v>
      </c>
      <c r="Q10" s="702">
        <v>-3024</v>
      </c>
      <c r="R10" s="702">
        <v>-6307</v>
      </c>
      <c r="S10" s="702">
        <v>-5931</v>
      </c>
      <c r="T10" s="702">
        <v>-7000</v>
      </c>
      <c r="U10" s="702">
        <v>-12000</v>
      </c>
      <c r="V10" s="702">
        <v>-10000</v>
      </c>
      <c r="W10" s="702">
        <v>-5000</v>
      </c>
      <c r="X10" s="702">
        <v>-3000</v>
      </c>
      <c r="Y10" s="702">
        <v>-2000</v>
      </c>
      <c r="Z10" s="702">
        <v>-2000</v>
      </c>
      <c r="AA10" s="702">
        <v>-3000</v>
      </c>
      <c r="AB10" s="702">
        <v>-2000</v>
      </c>
    </row>
    <row r="11" spans="1:31">
      <c r="A11" s="1111"/>
      <c r="B11" s="34"/>
      <c r="C11" s="34" t="s">
        <v>138</v>
      </c>
      <c r="D11" s="34"/>
      <c r="E11" s="34"/>
      <c r="F11" s="616">
        <v>82784</v>
      </c>
      <c r="G11" s="616">
        <v>91784</v>
      </c>
      <c r="H11" s="616">
        <v>180065</v>
      </c>
      <c r="I11" s="616">
        <v>136833</v>
      </c>
      <c r="J11" s="616">
        <v>186906</v>
      </c>
      <c r="K11" s="616">
        <v>178463</v>
      </c>
      <c r="L11" s="616">
        <v>254013</v>
      </c>
      <c r="M11" s="616">
        <v>218709</v>
      </c>
      <c r="N11" s="616">
        <v>216151</v>
      </c>
      <c r="O11" s="616">
        <v>465913</v>
      </c>
      <c r="P11" s="616">
        <v>185694</v>
      </c>
      <c r="Q11" s="616">
        <v>195639</v>
      </c>
      <c r="R11" s="616">
        <v>240223</v>
      </c>
      <c r="S11" s="616">
        <v>329617</v>
      </c>
      <c r="T11" s="616">
        <v>271000</v>
      </c>
      <c r="U11" s="616">
        <v>287000</v>
      </c>
      <c r="V11" s="616">
        <v>215000</v>
      </c>
      <c r="W11" s="616">
        <v>187000</v>
      </c>
      <c r="X11" s="616">
        <v>175000</v>
      </c>
      <c r="Y11" s="616">
        <v>159000</v>
      </c>
      <c r="Z11" s="616">
        <v>176000</v>
      </c>
      <c r="AA11" s="616">
        <v>174000</v>
      </c>
      <c r="AB11" s="616">
        <v>242000</v>
      </c>
    </row>
    <row r="12" spans="1:31">
      <c r="A12" s="1111"/>
      <c r="B12" s="34"/>
      <c r="D12" s="34"/>
      <c r="E12" s="34"/>
      <c r="F12" s="616">
        <v>2720</v>
      </c>
      <c r="G12" s="616">
        <v>2509</v>
      </c>
      <c r="H12" s="616">
        <v>2744</v>
      </c>
      <c r="I12" s="616">
        <v>2908</v>
      </c>
      <c r="J12" s="616">
        <v>2884</v>
      </c>
      <c r="K12" s="616">
        <v>3140</v>
      </c>
      <c r="L12" s="616">
        <v>3378</v>
      </c>
      <c r="M12" s="616">
        <v>3106</v>
      </c>
      <c r="N12" s="616">
        <v>12241</v>
      </c>
      <c r="O12" s="616">
        <v>9439</v>
      </c>
      <c r="P12" s="616">
        <v>8407</v>
      </c>
      <c r="Q12" s="616">
        <v>7473</v>
      </c>
    </row>
    <row r="13" spans="1:31">
      <c r="A13" s="709">
        <v>1200</v>
      </c>
      <c r="B13" s="34"/>
      <c r="C13" s="34" t="s">
        <v>141</v>
      </c>
      <c r="D13" s="34"/>
      <c r="E13" s="34"/>
      <c r="F13" s="616">
        <v>2720</v>
      </c>
      <c r="G13" s="616">
        <v>2509</v>
      </c>
      <c r="H13" s="616">
        <v>2744</v>
      </c>
      <c r="I13" s="616">
        <v>2908</v>
      </c>
      <c r="J13" s="616">
        <v>2884</v>
      </c>
      <c r="K13" s="616">
        <v>3140</v>
      </c>
      <c r="L13" s="616">
        <v>3378</v>
      </c>
      <c r="M13" s="616">
        <v>3106</v>
      </c>
      <c r="N13" s="616">
        <v>12241</v>
      </c>
      <c r="O13" s="616">
        <v>9439</v>
      </c>
      <c r="P13" s="616">
        <v>8407</v>
      </c>
      <c r="Q13" s="616">
        <v>7473</v>
      </c>
      <c r="R13" s="616">
        <v>111512</v>
      </c>
      <c r="S13" s="616">
        <v>131114</v>
      </c>
      <c r="T13" s="616">
        <v>137000</v>
      </c>
      <c r="U13" s="616">
        <v>168000</v>
      </c>
      <c r="V13" s="616">
        <v>163000</v>
      </c>
      <c r="W13" s="616">
        <v>104000</v>
      </c>
      <c r="X13" s="616">
        <v>70000</v>
      </c>
      <c r="Y13" s="616">
        <v>58000</v>
      </c>
      <c r="Z13" s="616">
        <v>42000</v>
      </c>
      <c r="AA13" s="616">
        <v>56000</v>
      </c>
      <c r="AB13" s="616">
        <v>69000</v>
      </c>
    </row>
    <row r="14" spans="1:31">
      <c r="A14" s="709">
        <v>1700</v>
      </c>
      <c r="B14" s="1111"/>
      <c r="C14" s="1111" t="s">
        <v>150</v>
      </c>
      <c r="D14" s="1111"/>
      <c r="E14" s="34"/>
      <c r="F14" s="616" t="e">
        <v>#REF!</v>
      </c>
      <c r="G14" s="616" t="e">
        <v>#REF!</v>
      </c>
      <c r="H14" s="616" t="e">
        <v>#REF!</v>
      </c>
      <c r="I14" s="616" t="e">
        <v>#REF!</v>
      </c>
      <c r="J14" s="616" t="e">
        <v>#REF!</v>
      </c>
      <c r="K14" s="616" t="e">
        <v>#REF!</v>
      </c>
      <c r="L14" s="616" t="e">
        <v>#REF!</v>
      </c>
      <c r="M14" s="616" t="e">
        <v>#REF!</v>
      </c>
      <c r="N14" s="616" t="e">
        <v>#REF!</v>
      </c>
      <c r="O14" s="616" t="e">
        <v>#REF!</v>
      </c>
      <c r="P14" s="616" t="e">
        <v>#REF!</v>
      </c>
      <c r="Q14" s="616" t="e">
        <v>#REF!</v>
      </c>
      <c r="R14" s="616">
        <v>2985</v>
      </c>
      <c r="S14" s="616">
        <v>11827</v>
      </c>
      <c r="T14" s="616">
        <v>3000</v>
      </c>
      <c r="U14" s="616">
        <v>3000</v>
      </c>
      <c r="V14" s="616">
        <v>2000</v>
      </c>
      <c r="W14" s="616">
        <v>2000</v>
      </c>
      <c r="X14" s="616">
        <v>3000</v>
      </c>
      <c r="Y14" s="616">
        <v>3000</v>
      </c>
      <c r="Z14" s="616">
        <v>4000</v>
      </c>
      <c r="AA14" s="616">
        <v>4000</v>
      </c>
      <c r="AB14" s="616">
        <v>4000</v>
      </c>
    </row>
    <row r="15" spans="1:31">
      <c r="A15" s="709">
        <v>1250</v>
      </c>
      <c r="B15" s="1111"/>
      <c r="C15" s="1111" t="s">
        <v>151</v>
      </c>
      <c r="D15" s="1111"/>
      <c r="E15" s="34"/>
      <c r="F15" s="616"/>
      <c r="G15" s="616"/>
      <c r="H15" s="616"/>
      <c r="I15" s="616"/>
      <c r="J15" s="616"/>
      <c r="K15" s="616"/>
      <c r="L15" s="616"/>
      <c r="M15" s="616"/>
      <c r="N15" s="616"/>
      <c r="O15" s="616"/>
      <c r="P15" s="616"/>
      <c r="Q15" s="616"/>
      <c r="R15" s="616">
        <v>1255</v>
      </c>
      <c r="S15" s="616">
        <v>2992</v>
      </c>
      <c r="T15" s="616">
        <v>10000</v>
      </c>
      <c r="U15" s="616">
        <v>8000</v>
      </c>
      <c r="V15" s="616">
        <v>9000</v>
      </c>
      <c r="W15" s="616">
        <v>19000</v>
      </c>
      <c r="X15" s="616">
        <v>3000</v>
      </c>
      <c r="Y15" s="616">
        <v>11000</v>
      </c>
      <c r="Z15" s="616">
        <v>7000</v>
      </c>
      <c r="AA15" s="616">
        <v>13000</v>
      </c>
      <c r="AB15" s="616">
        <v>54000</v>
      </c>
      <c r="AC15" s="616"/>
      <c r="AD15" s="616"/>
      <c r="AE15" s="616"/>
    </row>
    <row r="16" spans="1:31">
      <c r="A16" s="709">
        <v>1800</v>
      </c>
      <c r="B16" s="1111"/>
      <c r="C16" s="1111" t="s">
        <v>322</v>
      </c>
      <c r="D16" s="1111"/>
      <c r="E16" s="34"/>
      <c r="F16" s="616" t="e">
        <v>#REF!</v>
      </c>
      <c r="G16" s="616" t="e">
        <v>#REF!</v>
      </c>
      <c r="H16" s="616" t="e">
        <v>#REF!</v>
      </c>
      <c r="I16" s="616" t="e">
        <v>#REF!</v>
      </c>
      <c r="J16" s="616" t="e">
        <v>#REF!</v>
      </c>
      <c r="K16" s="616" t="e">
        <v>#REF!</v>
      </c>
      <c r="L16" s="616" t="e">
        <v>#REF!</v>
      </c>
      <c r="M16" s="707" t="e">
        <v>#REF!</v>
      </c>
      <c r="N16" s="616" t="e">
        <v>#REF!</v>
      </c>
      <c r="O16" s="616" t="e">
        <v>#REF!</v>
      </c>
      <c r="P16" s="616" t="e">
        <v>#REF!</v>
      </c>
      <c r="Q16" s="616" t="e">
        <v>#REF!</v>
      </c>
      <c r="R16" s="616">
        <v>0</v>
      </c>
      <c r="S16" s="616">
        <v>9900</v>
      </c>
      <c r="T16" s="616">
        <v>69000</v>
      </c>
      <c r="U16" s="616">
        <v>2000</v>
      </c>
      <c r="V16" s="616">
        <v>0</v>
      </c>
      <c r="W16" s="616">
        <v>0</v>
      </c>
      <c r="X16" s="616">
        <v>12000</v>
      </c>
      <c r="Y16" s="616">
        <v>13000</v>
      </c>
      <c r="Z16" s="616">
        <v>16000</v>
      </c>
      <c r="AA16" s="616">
        <v>13000</v>
      </c>
      <c r="AB16" s="616">
        <v>9000</v>
      </c>
      <c r="AC16" s="616"/>
      <c r="AD16" s="616"/>
      <c r="AE16" s="616"/>
    </row>
    <row r="17" spans="1:31">
      <c r="A17" s="709">
        <v>1130</v>
      </c>
      <c r="B17" s="1111"/>
      <c r="C17" s="1111" t="s">
        <v>1262</v>
      </c>
      <c r="D17" s="1111"/>
      <c r="E17" s="34"/>
      <c r="F17" s="616" t="e">
        <v>#REF!</v>
      </c>
      <c r="G17" s="616" t="e">
        <v>#REF!</v>
      </c>
      <c r="H17" s="616" t="e">
        <v>#REF!</v>
      </c>
      <c r="I17" s="616" t="e">
        <v>#REF!</v>
      </c>
      <c r="J17" s="616" t="e">
        <v>#REF!</v>
      </c>
      <c r="K17" s="616" t="e">
        <v>#REF!</v>
      </c>
      <c r="L17" s="616" t="e">
        <v>#REF!</v>
      </c>
      <c r="M17" s="616" t="e">
        <v>#REF!</v>
      </c>
      <c r="N17" s="616" t="e">
        <v>#REF!</v>
      </c>
      <c r="O17" s="616" t="e">
        <v>#REF!</v>
      </c>
      <c r="P17" s="616" t="e">
        <v>#REF!</v>
      </c>
      <c r="Q17" s="616" t="e">
        <v>#REF!</v>
      </c>
      <c r="R17" s="616">
        <v>17493</v>
      </c>
      <c r="S17" s="616">
        <v>24615</v>
      </c>
      <c r="T17" s="616">
        <v>11000</v>
      </c>
      <c r="U17" s="616">
        <v>11000</v>
      </c>
      <c r="V17" s="616">
        <v>30000</v>
      </c>
      <c r="W17" s="616">
        <v>29000</v>
      </c>
      <c r="X17" s="616">
        <v>18000</v>
      </c>
      <c r="Y17" s="616">
        <v>7000</v>
      </c>
      <c r="Z17" s="616">
        <v>0</v>
      </c>
      <c r="AA17" s="616">
        <v>0</v>
      </c>
      <c r="AB17" s="616">
        <v>0</v>
      </c>
      <c r="AC17" s="616"/>
      <c r="AD17" s="616"/>
      <c r="AE17" s="616"/>
    </row>
    <row r="18" spans="1:31">
      <c r="A18" s="709">
        <v>1710</v>
      </c>
      <c r="B18" s="1111"/>
      <c r="C18" s="1111" t="s">
        <v>155</v>
      </c>
      <c r="D18" s="1111"/>
      <c r="E18" s="34"/>
      <c r="F18" s="616" t="e">
        <v>#REF!</v>
      </c>
      <c r="G18" s="616" t="e">
        <v>#REF!</v>
      </c>
      <c r="H18" s="616" t="e">
        <v>#REF!</v>
      </c>
      <c r="I18" s="616" t="e">
        <v>#REF!</v>
      </c>
      <c r="J18" s="616" t="e">
        <v>#REF!</v>
      </c>
      <c r="K18" s="616" t="e">
        <v>#REF!</v>
      </c>
      <c r="L18" s="616" t="e">
        <v>#REF!</v>
      </c>
      <c r="M18" s="616" t="e">
        <v>#REF!</v>
      </c>
      <c r="N18" s="616" t="e">
        <v>#REF!</v>
      </c>
      <c r="O18" s="616" t="e">
        <v>#REF!</v>
      </c>
      <c r="P18" s="616" t="e">
        <v>#REF!</v>
      </c>
      <c r="Q18" s="616" t="e">
        <v>#REF!</v>
      </c>
      <c r="R18" s="616">
        <v>771</v>
      </c>
      <c r="S18" s="616">
        <v>861</v>
      </c>
      <c r="T18" s="616">
        <v>0</v>
      </c>
      <c r="U18" s="616">
        <v>4000</v>
      </c>
      <c r="V18" s="616">
        <v>75000</v>
      </c>
      <c r="W18" s="616">
        <v>91000</v>
      </c>
      <c r="X18" s="616">
        <v>43000</v>
      </c>
      <c r="Y18" s="616">
        <v>54000</v>
      </c>
      <c r="Z18" s="616">
        <v>86000</v>
      </c>
      <c r="AA18" s="616">
        <v>143000</v>
      </c>
      <c r="AB18" s="616">
        <v>72000</v>
      </c>
      <c r="AC18" s="616"/>
      <c r="AD18" s="616"/>
      <c r="AE18" s="616"/>
    </row>
    <row r="19" spans="1:31">
      <c r="A19" s="709">
        <v>1820</v>
      </c>
      <c r="B19" s="34"/>
      <c r="C19" s="34" t="s">
        <v>154</v>
      </c>
      <c r="D19" s="34"/>
      <c r="E19" s="34"/>
      <c r="F19" s="702">
        <v>0</v>
      </c>
      <c r="G19" s="702">
        <v>0</v>
      </c>
      <c r="H19" s="702">
        <v>0</v>
      </c>
      <c r="I19" s="702">
        <v>0</v>
      </c>
      <c r="J19" s="702">
        <v>0</v>
      </c>
      <c r="K19" s="702">
        <v>0</v>
      </c>
      <c r="L19" s="702">
        <v>0</v>
      </c>
      <c r="M19" s="702">
        <v>0</v>
      </c>
      <c r="N19" s="702">
        <v>0</v>
      </c>
      <c r="O19" s="702">
        <v>2811</v>
      </c>
      <c r="P19" s="702">
        <v>2211</v>
      </c>
      <c r="Q19" s="702">
        <v>294</v>
      </c>
      <c r="R19" s="702">
        <v>11603</v>
      </c>
      <c r="S19" s="702">
        <v>310</v>
      </c>
      <c r="T19" s="702">
        <v>0</v>
      </c>
      <c r="U19" s="702">
        <v>0</v>
      </c>
      <c r="V19" s="702">
        <v>0</v>
      </c>
      <c r="W19" s="702">
        <v>0</v>
      </c>
      <c r="X19" s="702">
        <v>0</v>
      </c>
      <c r="Y19" s="702">
        <v>0</v>
      </c>
      <c r="Z19" s="702">
        <v>11000</v>
      </c>
      <c r="AA19" s="702">
        <v>14000</v>
      </c>
      <c r="AB19" s="702">
        <v>10000</v>
      </c>
      <c r="AC19" s="616"/>
      <c r="AD19" s="616"/>
      <c r="AE19" s="616"/>
    </row>
    <row r="20" spans="1:31">
      <c r="A20" s="1111"/>
      <c r="B20" s="34"/>
      <c r="C20" s="34"/>
      <c r="D20" s="34"/>
      <c r="E20" s="34"/>
      <c r="F20" s="616" t="e">
        <v>#REF!</v>
      </c>
      <c r="G20" s="616" t="e">
        <v>#REF!</v>
      </c>
      <c r="H20" s="616" t="e">
        <v>#REF!</v>
      </c>
      <c r="I20" s="616" t="e">
        <v>#REF!</v>
      </c>
      <c r="J20" s="616" t="e">
        <v>#REF!</v>
      </c>
      <c r="K20" s="616" t="e">
        <v>#REF!</v>
      </c>
      <c r="L20" s="616" t="e">
        <v>#REF!</v>
      </c>
      <c r="M20" s="616" t="e">
        <v>#REF!</v>
      </c>
      <c r="N20" s="616" t="e">
        <v>#REF!</v>
      </c>
      <c r="O20" s="616" t="e">
        <v>#REF!</v>
      </c>
      <c r="P20" s="616" t="e">
        <v>#REF!</v>
      </c>
      <c r="Q20" s="616" t="e">
        <v>#REF!</v>
      </c>
      <c r="R20" s="616">
        <v>436044</v>
      </c>
      <c r="S20" s="616">
        <v>527291</v>
      </c>
      <c r="T20" s="616">
        <v>587000</v>
      </c>
      <c r="U20" s="616">
        <v>497000</v>
      </c>
      <c r="V20" s="616">
        <v>500000</v>
      </c>
      <c r="W20" s="616">
        <v>438000</v>
      </c>
      <c r="X20" s="616">
        <v>330000</v>
      </c>
      <c r="Y20" s="616">
        <v>607000</v>
      </c>
      <c r="Z20" s="616">
        <v>389000</v>
      </c>
      <c r="AA20" s="616">
        <v>461000</v>
      </c>
      <c r="AB20" s="616">
        <v>610000</v>
      </c>
      <c r="AC20" s="616"/>
      <c r="AD20" s="616"/>
      <c r="AE20" s="616"/>
    </row>
    <row r="21" spans="1:31">
      <c r="A21" s="709">
        <v>1130</v>
      </c>
      <c r="B21" s="34"/>
      <c r="C21" s="34" t="s">
        <v>1196</v>
      </c>
      <c r="D21" s="34"/>
      <c r="E21" s="34"/>
      <c r="F21" s="616"/>
      <c r="G21" s="616"/>
      <c r="H21" s="616"/>
      <c r="I21" s="616"/>
      <c r="J21" s="616">
        <v>0</v>
      </c>
      <c r="K21" s="616"/>
      <c r="L21" s="616"/>
      <c r="M21" s="616"/>
      <c r="N21" s="616"/>
      <c r="O21" s="616"/>
      <c r="P21" s="34"/>
      <c r="Q21" s="616"/>
      <c r="R21" s="616">
        <v>51512</v>
      </c>
      <c r="S21" s="616">
        <v>51512</v>
      </c>
      <c r="T21" s="45"/>
      <c r="U21" s="45"/>
      <c r="V21" s="45"/>
      <c r="W21" s="45"/>
      <c r="X21" s="45"/>
      <c r="Y21" s="34"/>
      <c r="Z21" s="34"/>
      <c r="AA21" s="34"/>
      <c r="AB21" s="616"/>
      <c r="AC21" s="616"/>
      <c r="AD21" s="616"/>
      <c r="AE21" s="616"/>
    </row>
    <row r="22" spans="1:31">
      <c r="A22" s="709">
        <v>1730</v>
      </c>
      <c r="B22" s="34"/>
      <c r="C22" s="34" t="s">
        <v>202</v>
      </c>
      <c r="D22" s="34"/>
      <c r="E22" s="34"/>
      <c r="F22" s="616" t="e">
        <v>#REF!</v>
      </c>
      <c r="G22" s="616" t="e">
        <v>#REF!</v>
      </c>
      <c r="H22" s="616" t="e">
        <v>#REF!</v>
      </c>
      <c r="I22" s="616" t="e">
        <v>#REF!</v>
      </c>
      <c r="J22" s="616" t="e">
        <v>#REF!</v>
      </c>
      <c r="K22" s="616" t="e">
        <v>#REF!</v>
      </c>
      <c r="L22" s="616" t="e">
        <v>#REF!</v>
      </c>
      <c r="M22" s="616" t="e">
        <v>#REF!</v>
      </c>
      <c r="N22" s="616" t="e">
        <v>#REF!</v>
      </c>
      <c r="O22" s="616" t="e">
        <v>#REF!</v>
      </c>
      <c r="P22" s="616" t="e">
        <v>#REF!</v>
      </c>
      <c r="Q22" s="616" t="e">
        <v>#REF!</v>
      </c>
      <c r="R22" s="616">
        <v>160383</v>
      </c>
      <c r="S22" s="616">
        <v>188000</v>
      </c>
      <c r="T22" s="616">
        <v>260000</v>
      </c>
      <c r="U22" s="616">
        <v>327000</v>
      </c>
      <c r="V22" s="616">
        <v>329000</v>
      </c>
      <c r="W22" s="616">
        <v>333000</v>
      </c>
      <c r="X22" s="616">
        <v>332000</v>
      </c>
      <c r="Y22" s="616">
        <v>272000</v>
      </c>
      <c r="Z22" s="616">
        <v>260000</v>
      </c>
      <c r="AA22" s="616">
        <v>230000</v>
      </c>
      <c r="AB22" s="616">
        <v>237000</v>
      </c>
      <c r="AC22" s="616"/>
      <c r="AD22" s="616"/>
      <c r="AE22" s="616"/>
    </row>
    <row r="23" spans="1:31">
      <c r="A23" s="709">
        <v>1720</v>
      </c>
      <c r="B23" s="34"/>
      <c r="C23" s="34" t="s">
        <v>226</v>
      </c>
      <c r="D23" s="34"/>
      <c r="E23" s="34"/>
      <c r="F23" s="616"/>
      <c r="G23" s="616"/>
      <c r="H23" s="616"/>
      <c r="I23" s="616"/>
      <c r="J23" s="616"/>
      <c r="K23" s="616"/>
      <c r="L23" s="616"/>
      <c r="M23" s="616"/>
      <c r="N23" s="616"/>
      <c r="O23" s="616"/>
      <c r="P23" s="616"/>
      <c r="Q23" s="616"/>
      <c r="R23" s="616">
        <v>181941</v>
      </c>
      <c r="S23" s="616">
        <v>182000</v>
      </c>
      <c r="T23" s="616">
        <v>182000</v>
      </c>
      <c r="U23" s="616">
        <v>182000</v>
      </c>
      <c r="V23" s="616">
        <v>182000</v>
      </c>
      <c r="W23" s="616">
        <v>182000</v>
      </c>
      <c r="X23" s="616">
        <v>182000</v>
      </c>
      <c r="Y23" s="616">
        <v>179000</v>
      </c>
      <c r="Z23" s="616">
        <v>179000</v>
      </c>
      <c r="AA23" s="616">
        <v>179000</v>
      </c>
      <c r="AB23" s="616">
        <v>220000</v>
      </c>
      <c r="AC23" s="616"/>
      <c r="AD23" s="616"/>
      <c r="AE23" s="616"/>
    </row>
    <row r="24" spans="1:31">
      <c r="A24" s="1111"/>
      <c r="B24" s="34"/>
      <c r="C24" s="34"/>
      <c r="D24" s="34"/>
      <c r="E24" s="34"/>
      <c r="F24" s="616"/>
      <c r="G24" s="616"/>
      <c r="H24" s="616"/>
      <c r="I24" s="616"/>
      <c r="J24" s="616"/>
      <c r="K24" s="616"/>
      <c r="L24" s="616"/>
      <c r="M24" s="616"/>
      <c r="N24" s="616"/>
      <c r="O24" s="616"/>
      <c r="P24" s="616"/>
      <c r="Q24" s="616"/>
      <c r="R24" s="616"/>
      <c r="S24" s="616"/>
      <c r="T24" s="616"/>
      <c r="U24" s="616"/>
      <c r="V24" s="616"/>
      <c r="W24" s="616"/>
      <c r="X24" s="616"/>
      <c r="Y24" s="616"/>
      <c r="Z24" s="616"/>
      <c r="AA24" s="616"/>
      <c r="AB24" s="616"/>
      <c r="AC24" s="616"/>
      <c r="AD24" s="616"/>
      <c r="AE24" s="616"/>
    </row>
    <row r="25" spans="1:31">
      <c r="A25" s="709">
        <v>1500</v>
      </c>
      <c r="B25" s="34"/>
      <c r="C25" s="613" t="s">
        <v>130</v>
      </c>
      <c r="D25" s="34"/>
      <c r="E25" s="34"/>
      <c r="F25" s="616">
        <v>1819132</v>
      </c>
      <c r="G25" s="616">
        <v>2086591</v>
      </c>
      <c r="H25" s="616">
        <v>2225866</v>
      </c>
      <c r="I25" s="616">
        <v>2452025</v>
      </c>
      <c r="J25" s="616">
        <v>3162959</v>
      </c>
      <c r="K25" s="616">
        <v>3186769</v>
      </c>
      <c r="L25" s="616">
        <v>3592168</v>
      </c>
      <c r="M25" s="616">
        <v>4605643</v>
      </c>
      <c r="N25" s="616">
        <v>6120462</v>
      </c>
      <c r="O25" s="616">
        <v>6135215</v>
      </c>
      <c r="P25" s="616">
        <v>6164614</v>
      </c>
      <c r="Q25" s="616">
        <v>7749818</v>
      </c>
      <c r="R25" s="616">
        <v>4939583</v>
      </c>
      <c r="S25" s="616">
        <v>5059544</v>
      </c>
      <c r="T25" s="616">
        <v>5300000</v>
      </c>
      <c r="U25" s="616">
        <v>5966000</v>
      </c>
      <c r="V25" s="616">
        <v>6076000</v>
      </c>
      <c r="W25" s="616">
        <v>5683000</v>
      </c>
      <c r="X25" s="616">
        <v>5708000</v>
      </c>
      <c r="Y25" s="616">
        <v>5593000</v>
      </c>
      <c r="Z25" s="616">
        <v>5627000</v>
      </c>
      <c r="AA25" s="616">
        <v>5658000</v>
      </c>
      <c r="AB25" s="616">
        <v>5718000</v>
      </c>
      <c r="AC25" s="616"/>
      <c r="AD25" s="616"/>
      <c r="AE25" s="616"/>
    </row>
    <row r="26" spans="1:31">
      <c r="A26" s="709">
        <v>1500</v>
      </c>
      <c r="B26" s="34"/>
      <c r="C26" s="34" t="s">
        <v>157</v>
      </c>
      <c r="D26" s="34"/>
      <c r="E26" s="34"/>
      <c r="F26" s="616" t="e">
        <v>#REF!</v>
      </c>
      <c r="G26" s="616" t="e">
        <v>#REF!</v>
      </c>
      <c r="H26" s="616" t="e">
        <v>#REF!</v>
      </c>
      <c r="I26" s="616" t="e">
        <v>#REF!</v>
      </c>
      <c r="J26" s="616" t="e">
        <v>#REF!</v>
      </c>
      <c r="K26" s="616" t="e">
        <v>#REF!</v>
      </c>
      <c r="L26" s="616" t="e">
        <v>#REF!</v>
      </c>
      <c r="M26" s="616" t="e">
        <v>#REF!</v>
      </c>
      <c r="N26" s="616" t="e">
        <v>#REF!</v>
      </c>
      <c r="O26" s="616" t="e">
        <v>#REF!</v>
      </c>
      <c r="P26" s="616" t="e">
        <v>#REF!</v>
      </c>
      <c r="Q26" s="616" t="e">
        <v>#REF!</v>
      </c>
      <c r="R26" s="616">
        <v>289263</v>
      </c>
      <c r="S26" s="616">
        <v>301486</v>
      </c>
      <c r="T26" s="616">
        <v>231000</v>
      </c>
      <c r="U26" s="616">
        <v>233000</v>
      </c>
      <c r="V26" s="616">
        <v>252000</v>
      </c>
      <c r="W26" s="616">
        <v>243000</v>
      </c>
      <c r="X26" s="616">
        <v>30000</v>
      </c>
      <c r="Y26" s="616">
        <v>108000</v>
      </c>
      <c r="Z26" s="616">
        <v>111000</v>
      </c>
      <c r="AA26" s="616">
        <v>119000</v>
      </c>
      <c r="AB26" s="616">
        <v>132000</v>
      </c>
      <c r="AC26" s="616"/>
      <c r="AD26" s="616"/>
      <c r="AE26" s="616"/>
    </row>
    <row r="27" spans="1:31">
      <c r="A27" s="709">
        <v>1510</v>
      </c>
      <c r="B27" s="34"/>
      <c r="C27" s="34" t="s">
        <v>1187</v>
      </c>
      <c r="D27" s="34"/>
      <c r="E27" s="34"/>
      <c r="F27" s="616"/>
      <c r="G27" s="616"/>
      <c r="H27" s="616"/>
      <c r="I27" s="616"/>
      <c r="J27" s="616"/>
      <c r="K27" s="616"/>
      <c r="L27" s="616"/>
      <c r="M27" s="616"/>
      <c r="N27" s="616"/>
      <c r="O27" s="616"/>
      <c r="P27" s="616"/>
      <c r="Q27" s="616"/>
      <c r="R27" s="616">
        <v>53054</v>
      </c>
      <c r="S27" s="616">
        <v>56318</v>
      </c>
      <c r="T27" s="616">
        <v>28000</v>
      </c>
      <c r="U27" s="616">
        <v>27000</v>
      </c>
      <c r="V27" s="616">
        <v>33000</v>
      </c>
      <c r="W27" s="616">
        <v>30000</v>
      </c>
      <c r="X27" s="616">
        <v>240000</v>
      </c>
      <c r="Y27" s="616">
        <v>0</v>
      </c>
      <c r="Z27" s="616">
        <v>0</v>
      </c>
      <c r="AA27" s="616">
        <v>0</v>
      </c>
      <c r="AB27" s="616">
        <v>0</v>
      </c>
      <c r="AC27" s="616"/>
      <c r="AD27" s="616"/>
      <c r="AE27" s="616"/>
    </row>
    <row r="28" spans="1:31">
      <c r="A28" s="709"/>
      <c r="B28" s="34"/>
      <c r="C28" s="34" t="s">
        <v>160</v>
      </c>
      <c r="D28" s="34"/>
      <c r="E28" s="34"/>
      <c r="F28" s="616"/>
      <c r="G28" s="616"/>
      <c r="H28" s="616"/>
      <c r="I28" s="616"/>
      <c r="J28" s="616"/>
      <c r="K28" s="616"/>
      <c r="L28" s="616"/>
      <c r="M28" s="616"/>
      <c r="N28" s="616"/>
      <c r="O28" s="616"/>
      <c r="P28" s="616"/>
      <c r="Q28" s="616"/>
      <c r="R28" s="616">
        <v>0</v>
      </c>
      <c r="S28" s="616">
        <v>0</v>
      </c>
      <c r="T28" s="616">
        <v>0</v>
      </c>
      <c r="U28" s="616">
        <v>0</v>
      </c>
      <c r="V28" s="616">
        <v>0</v>
      </c>
      <c r="W28" s="616">
        <v>0</v>
      </c>
      <c r="X28" s="616">
        <v>75000</v>
      </c>
      <c r="Y28" s="616">
        <v>60000</v>
      </c>
      <c r="Z28" s="616">
        <v>60000</v>
      </c>
      <c r="AA28" s="616">
        <v>61000</v>
      </c>
      <c r="AB28" s="616">
        <v>67000</v>
      </c>
      <c r="AC28" s="616"/>
      <c r="AD28" s="616"/>
      <c r="AE28" s="616"/>
    </row>
    <row r="29" spans="1:31">
      <c r="A29" s="709">
        <v>1520</v>
      </c>
      <c r="B29" s="34"/>
      <c r="C29" s="34" t="s">
        <v>159</v>
      </c>
      <c r="D29" s="34"/>
      <c r="E29" s="34"/>
      <c r="F29" s="702" t="e">
        <v>#REF!</v>
      </c>
      <c r="G29" s="702" t="e">
        <v>#REF!</v>
      </c>
      <c r="H29" s="702" t="e">
        <v>#REF!</v>
      </c>
      <c r="I29" s="702" t="e">
        <v>#REF!</v>
      </c>
      <c r="J29" s="702" t="e">
        <v>#REF!</v>
      </c>
      <c r="K29" s="702" t="e">
        <v>#REF!</v>
      </c>
      <c r="L29" s="702" t="e">
        <v>#REF!</v>
      </c>
      <c r="M29" s="702" t="e">
        <v>#REF!</v>
      </c>
      <c r="N29" s="702" t="e">
        <v>#REF!</v>
      </c>
      <c r="O29" s="702" t="e">
        <v>#REF!</v>
      </c>
      <c r="P29" s="702" t="e">
        <v>#REF!</v>
      </c>
      <c r="Q29" s="702" t="e">
        <v>#REF!</v>
      </c>
      <c r="R29" s="702">
        <v>509774</v>
      </c>
      <c r="S29" s="702">
        <v>851620</v>
      </c>
      <c r="T29" s="702">
        <v>868000</v>
      </c>
      <c r="U29" s="702">
        <v>380000</v>
      </c>
      <c r="V29" s="702">
        <v>318000</v>
      </c>
      <c r="W29" s="702">
        <v>216000</v>
      </c>
      <c r="X29" s="702">
        <v>221000</v>
      </c>
      <c r="Y29" s="702">
        <v>151000</v>
      </c>
      <c r="Z29" s="702">
        <v>156000</v>
      </c>
      <c r="AA29" s="702">
        <v>197000</v>
      </c>
      <c r="AB29" s="702">
        <v>267000</v>
      </c>
      <c r="AC29" s="616"/>
      <c r="AD29" s="616"/>
      <c r="AE29" s="616"/>
    </row>
    <row r="30" spans="1:31">
      <c r="A30" s="709">
        <v>1600</v>
      </c>
      <c r="B30" s="34"/>
      <c r="C30" s="613" t="s">
        <v>158</v>
      </c>
      <c r="D30" s="613"/>
      <c r="E30" s="34"/>
      <c r="F30" s="616" t="e">
        <v>#REF!</v>
      </c>
      <c r="G30" s="616" t="e">
        <v>#REF!</v>
      </c>
      <c r="H30" s="616" t="e">
        <v>#REF!</v>
      </c>
      <c r="I30" s="616" t="e">
        <v>#REF!</v>
      </c>
      <c r="J30" s="616" t="e">
        <v>#REF!</v>
      </c>
      <c r="K30" s="616" t="e">
        <v>#REF!</v>
      </c>
      <c r="L30" s="616" t="e">
        <v>#REF!</v>
      </c>
      <c r="M30" s="616" t="e">
        <v>#REF!</v>
      </c>
      <c r="N30" s="616" t="e">
        <v>#REF!</v>
      </c>
      <c r="O30" s="616" t="e">
        <v>#REF!</v>
      </c>
      <c r="P30" s="616" t="e">
        <v>#REF!</v>
      </c>
      <c r="Q30" s="616" t="e">
        <v>#REF!</v>
      </c>
      <c r="R30" s="616">
        <v>5791674</v>
      </c>
      <c r="S30" s="616">
        <v>6268968</v>
      </c>
      <c r="T30" s="616">
        <v>6427000</v>
      </c>
      <c r="U30" s="616">
        <v>6606000</v>
      </c>
      <c r="V30" s="616">
        <v>6679000</v>
      </c>
      <c r="W30" s="616">
        <v>6172000</v>
      </c>
      <c r="X30" s="616">
        <v>6274000</v>
      </c>
      <c r="Y30" s="616">
        <v>5912000</v>
      </c>
      <c r="Z30" s="616">
        <v>5954000</v>
      </c>
      <c r="AA30" s="616">
        <v>6035000</v>
      </c>
      <c r="AB30" s="616">
        <v>6184000</v>
      </c>
      <c r="AC30" s="616"/>
      <c r="AD30" s="616"/>
      <c r="AE30" s="616"/>
    </row>
    <row r="31" spans="1:31">
      <c r="A31" s="709">
        <v>1610</v>
      </c>
      <c r="B31" s="34"/>
      <c r="C31" s="34" t="s">
        <v>161</v>
      </c>
      <c r="D31" s="34"/>
      <c r="E31" s="34"/>
      <c r="F31" s="616">
        <v>-13424</v>
      </c>
      <c r="G31" s="616">
        <v>-57731</v>
      </c>
      <c r="H31" s="616">
        <v>-118744</v>
      </c>
      <c r="I31" s="616">
        <v>-154202</v>
      </c>
      <c r="J31" s="616">
        <v>-8228</v>
      </c>
      <c r="K31" s="616">
        <v>-72988</v>
      </c>
      <c r="L31" s="616">
        <v>-148127</v>
      </c>
      <c r="M31" s="616">
        <v>0</v>
      </c>
      <c r="N31" s="616">
        <v>0</v>
      </c>
      <c r="O31" s="616">
        <v>-129256</v>
      </c>
      <c r="P31" s="616">
        <v>-260394</v>
      </c>
      <c r="Q31" s="616">
        <v>-2302</v>
      </c>
      <c r="R31" s="616">
        <v>-978055</v>
      </c>
      <c r="S31" s="616">
        <v>-1105369</v>
      </c>
      <c r="T31" s="616">
        <v>-1259000</v>
      </c>
      <c r="U31" s="616">
        <v>-1426000</v>
      </c>
      <c r="V31" s="616">
        <v>-1601000</v>
      </c>
      <c r="W31" s="616">
        <v>-1473000</v>
      </c>
      <c r="X31" s="616">
        <v>-1663000</v>
      </c>
      <c r="Y31" s="616">
        <v>-1659000</v>
      </c>
      <c r="Z31" s="616">
        <v>-1828000</v>
      </c>
      <c r="AA31" s="616">
        <v>-2009000</v>
      </c>
      <c r="AB31" s="616">
        <v>-2223000</v>
      </c>
      <c r="AC31" s="616"/>
      <c r="AD31" s="616"/>
      <c r="AE31" s="616"/>
    </row>
    <row r="32" spans="1:31">
      <c r="A32" s="709">
        <v>1610</v>
      </c>
      <c r="B32" s="34"/>
      <c r="C32" s="34" t="s">
        <v>323</v>
      </c>
      <c r="D32" s="34"/>
      <c r="E32" s="34"/>
      <c r="F32" s="730" t="e">
        <v>#REF!</v>
      </c>
      <c r="G32" s="730" t="e">
        <v>#REF!</v>
      </c>
      <c r="H32" s="730" t="e">
        <v>#REF!</v>
      </c>
      <c r="I32" s="730" t="e">
        <v>#REF!</v>
      </c>
      <c r="J32" s="730" t="e">
        <v>#REF!</v>
      </c>
      <c r="K32" s="730" t="e">
        <v>#REF!</v>
      </c>
      <c r="L32" s="730" t="e">
        <v>#REF!</v>
      </c>
      <c r="M32" s="730" t="e">
        <v>#REF!</v>
      </c>
      <c r="N32" s="730" t="e">
        <v>#REF!</v>
      </c>
      <c r="O32" s="730" t="e">
        <v>#REF!</v>
      </c>
      <c r="P32" s="730" t="e">
        <v>#REF!</v>
      </c>
      <c r="Q32" s="730" t="e">
        <v>#REF!</v>
      </c>
      <c r="R32" s="730"/>
      <c r="S32" s="730"/>
      <c r="T32" s="730"/>
      <c r="U32" s="730"/>
      <c r="V32" s="730"/>
      <c r="W32" s="730"/>
      <c r="X32" s="730"/>
      <c r="Y32" s="730"/>
      <c r="Z32" s="730"/>
      <c r="AA32" s="730"/>
      <c r="AB32" s="730"/>
      <c r="AC32" s="616"/>
      <c r="AD32" s="616"/>
      <c r="AE32" s="616"/>
    </row>
    <row r="33" spans="1:31">
      <c r="A33" s="1111"/>
      <c r="B33" s="34"/>
      <c r="C33" s="34" t="s">
        <v>163</v>
      </c>
      <c r="D33" s="34"/>
      <c r="E33" s="34"/>
      <c r="F33" s="702" t="e">
        <v>#REF!</v>
      </c>
      <c r="G33" s="702" t="e">
        <v>#REF!</v>
      </c>
      <c r="H33" s="702" t="e">
        <v>#REF!</v>
      </c>
      <c r="I33" s="702" t="e">
        <v>#REF!</v>
      </c>
      <c r="J33" s="702" t="e">
        <v>#REF!</v>
      </c>
      <c r="K33" s="702" t="e">
        <v>#REF!</v>
      </c>
      <c r="L33" s="702" t="e">
        <v>#REF!</v>
      </c>
      <c r="M33" s="702" t="e">
        <v>#REF!</v>
      </c>
      <c r="N33" s="702" t="e">
        <v>#REF!</v>
      </c>
      <c r="O33" s="702" t="e">
        <v>#REF!</v>
      </c>
      <c r="P33" s="702" t="e">
        <v>#REF!</v>
      </c>
      <c r="Q33" s="702" t="e">
        <v>#REF!</v>
      </c>
      <c r="R33" s="702">
        <v>-978055</v>
      </c>
      <c r="S33" s="702">
        <v>-1105369</v>
      </c>
      <c r="T33" s="702">
        <v>-1259000</v>
      </c>
      <c r="U33" s="702">
        <v>-1426000</v>
      </c>
      <c r="V33" s="702">
        <v>-1601000</v>
      </c>
      <c r="W33" s="702">
        <v>-1473000</v>
      </c>
      <c r="X33" s="702">
        <v>-1663000</v>
      </c>
      <c r="Y33" s="702">
        <v>-1659000</v>
      </c>
      <c r="Z33" s="702">
        <v>-1828000</v>
      </c>
      <c r="AA33" s="702">
        <v>-2009000</v>
      </c>
      <c r="AB33" s="702">
        <v>-2223000</v>
      </c>
      <c r="AC33" s="616"/>
      <c r="AD33" s="616"/>
      <c r="AE33" s="616"/>
    </row>
    <row r="34" spans="1:31">
      <c r="A34" s="1111"/>
      <c r="B34" s="34"/>
      <c r="C34" s="34" t="s">
        <v>164</v>
      </c>
      <c r="D34" s="34"/>
      <c r="E34" s="34"/>
      <c r="F34" s="616" t="e">
        <v>#REF!</v>
      </c>
      <c r="G34" s="616" t="e">
        <v>#REF!</v>
      </c>
      <c r="H34" s="616" t="e">
        <v>#REF!</v>
      </c>
      <c r="I34" s="616" t="e">
        <v>#REF!</v>
      </c>
      <c r="J34" s="616" t="e">
        <v>#REF!</v>
      </c>
      <c r="K34" s="616" t="e">
        <v>#REF!</v>
      </c>
      <c r="L34" s="616" t="e">
        <v>#REF!</v>
      </c>
      <c r="M34" s="616" t="e">
        <v>#REF!</v>
      </c>
      <c r="N34" s="616" t="e">
        <v>#REF!</v>
      </c>
      <c r="O34" s="616" t="e">
        <v>#REF!</v>
      </c>
      <c r="P34" s="616" t="e">
        <v>#REF!</v>
      </c>
      <c r="Q34" s="616" t="e">
        <v>#REF!</v>
      </c>
      <c r="R34" s="616">
        <v>4813619</v>
      </c>
      <c r="S34" s="616">
        <v>5163599</v>
      </c>
      <c r="T34" s="616">
        <v>5168000</v>
      </c>
      <c r="U34" s="616">
        <v>5180000</v>
      </c>
      <c r="V34" s="616">
        <v>5078000</v>
      </c>
      <c r="W34" s="616">
        <v>4699000</v>
      </c>
      <c r="X34" s="616">
        <v>4611000</v>
      </c>
      <c r="Y34" s="616">
        <v>4253000</v>
      </c>
      <c r="Z34" s="616">
        <v>4126000</v>
      </c>
      <c r="AA34" s="616">
        <v>4026000</v>
      </c>
      <c r="AB34" s="616">
        <v>3961000</v>
      </c>
      <c r="AC34" s="616"/>
      <c r="AD34" s="616"/>
      <c r="AE34" s="616"/>
    </row>
    <row r="35" spans="1:31">
      <c r="A35" s="1111"/>
      <c r="B35" s="34"/>
      <c r="C35" s="34" t="s">
        <v>1408</v>
      </c>
      <c r="D35" s="34"/>
      <c r="E35" s="34"/>
      <c r="F35" s="616"/>
      <c r="G35" s="616"/>
      <c r="H35" s="616"/>
      <c r="I35" s="616"/>
      <c r="J35" s="616"/>
      <c r="K35" s="616"/>
      <c r="L35" s="616"/>
      <c r="M35" s="616"/>
      <c r="N35" s="616"/>
      <c r="O35" s="616"/>
      <c r="P35" s="616"/>
      <c r="Q35" s="616"/>
      <c r="R35" s="616">
        <v>-9</v>
      </c>
      <c r="S35" s="616">
        <v>-10</v>
      </c>
      <c r="T35" s="616"/>
      <c r="U35" s="616"/>
      <c r="V35" s="616"/>
      <c r="W35" s="616"/>
      <c r="X35" s="616"/>
      <c r="Y35" s="616"/>
      <c r="Z35" s="616"/>
      <c r="AA35" s="616"/>
      <c r="AB35" s="616"/>
      <c r="AC35" s="616"/>
      <c r="AD35" s="616"/>
      <c r="AE35" s="616"/>
    </row>
    <row r="36" spans="1:31" ht="13.5" thickBot="1">
      <c r="A36" s="1120"/>
      <c r="B36" s="34"/>
      <c r="C36" s="613" t="s">
        <v>165</v>
      </c>
      <c r="D36" s="613"/>
      <c r="E36" s="34"/>
      <c r="F36" s="725" t="e">
        <v>#REF!</v>
      </c>
      <c r="G36" s="725" t="e">
        <v>#REF!</v>
      </c>
      <c r="H36" s="725" t="e">
        <v>#REF!</v>
      </c>
      <c r="I36" s="725" t="e">
        <v>#REF!</v>
      </c>
      <c r="J36" s="725" t="e">
        <v>#REF!</v>
      </c>
      <c r="K36" s="725" t="e">
        <v>#REF!</v>
      </c>
      <c r="L36" s="725" t="e">
        <v>#REF!</v>
      </c>
      <c r="M36" s="725" t="e">
        <v>#REF!</v>
      </c>
      <c r="N36" s="725" t="e">
        <v>#REF!</v>
      </c>
      <c r="O36" s="725" t="e">
        <v>#REF!</v>
      </c>
      <c r="P36" s="725" t="e">
        <v>#REF!</v>
      </c>
      <c r="Q36" s="725" t="e">
        <v>#REF!</v>
      </c>
      <c r="R36" s="725">
        <v>5643490</v>
      </c>
      <c r="S36" s="725">
        <v>6112392</v>
      </c>
      <c r="T36" s="725">
        <v>6197000</v>
      </c>
      <c r="U36" s="725">
        <v>6186000</v>
      </c>
      <c r="V36" s="725">
        <v>6089000</v>
      </c>
      <c r="W36" s="725">
        <v>5652000</v>
      </c>
      <c r="X36" s="725">
        <v>5455000</v>
      </c>
      <c r="Y36" s="725">
        <v>5311000</v>
      </c>
      <c r="Z36" s="725">
        <v>4954000</v>
      </c>
      <c r="AA36" s="725">
        <v>4896000</v>
      </c>
      <c r="AB36" s="725">
        <v>5028000</v>
      </c>
      <c r="AC36" s="616"/>
      <c r="AD36" s="616"/>
      <c r="AE36" s="616"/>
    </row>
    <row r="37" spans="1:31" ht="13.5" thickTop="1">
      <c r="A37" s="613"/>
      <c r="B37" s="34"/>
      <c r="C37" s="613"/>
      <c r="D37" s="613"/>
      <c r="E37" s="34"/>
      <c r="F37" s="616"/>
      <c r="G37" s="616"/>
      <c r="H37" s="616"/>
      <c r="I37" s="616"/>
      <c r="J37" s="616"/>
      <c r="K37" s="616"/>
      <c r="L37" s="616"/>
      <c r="M37" s="616"/>
      <c r="N37" s="616"/>
      <c r="O37" s="706"/>
      <c r="P37" s="616"/>
      <c r="Q37" s="616"/>
      <c r="R37" s="616">
        <v>5643490</v>
      </c>
      <c r="S37" s="616">
        <v>6112392</v>
      </c>
      <c r="T37" s="616">
        <v>6197000</v>
      </c>
      <c r="U37" s="616">
        <v>6186000</v>
      </c>
      <c r="V37" s="616">
        <v>6089000</v>
      </c>
      <c r="W37" s="616">
        <v>5652000</v>
      </c>
      <c r="X37" s="616">
        <v>5455000</v>
      </c>
      <c r="Y37" s="616">
        <v>5311000</v>
      </c>
      <c r="Z37" s="616">
        <v>4954000</v>
      </c>
      <c r="AA37" s="616">
        <v>4896000</v>
      </c>
      <c r="AB37" s="616">
        <v>5028000</v>
      </c>
      <c r="AC37" s="616"/>
      <c r="AD37" s="616"/>
      <c r="AE37" s="616"/>
    </row>
    <row r="38" spans="1:31">
      <c r="A38" s="613"/>
      <c r="B38" s="34"/>
      <c r="C38" s="613"/>
      <c r="D38" s="1276" t="s">
        <v>1208</v>
      </c>
      <c r="E38" s="34"/>
      <c r="F38" s="616"/>
      <c r="G38" s="616"/>
      <c r="H38" s="616"/>
      <c r="I38" s="616"/>
      <c r="J38" s="616"/>
      <c r="K38" s="616"/>
      <c r="L38" s="616"/>
      <c r="M38" s="616"/>
      <c r="N38" s="616"/>
      <c r="O38" s="706"/>
      <c r="P38" s="616"/>
      <c r="Q38" s="616"/>
      <c r="R38" s="616">
        <v>0</v>
      </c>
      <c r="S38" s="616">
        <v>0</v>
      </c>
      <c r="T38" s="616">
        <v>0</v>
      </c>
      <c r="U38" s="616">
        <v>0</v>
      </c>
      <c r="V38" s="616">
        <v>0</v>
      </c>
      <c r="W38" s="616">
        <v>0</v>
      </c>
      <c r="X38" s="616">
        <v>0</v>
      </c>
      <c r="Y38" s="616">
        <v>0</v>
      </c>
      <c r="Z38" s="616">
        <v>0</v>
      </c>
      <c r="AA38" s="616">
        <v>0</v>
      </c>
      <c r="AB38" s="616">
        <v>0</v>
      </c>
      <c r="AC38" s="616"/>
      <c r="AD38" s="616"/>
      <c r="AE38" s="616"/>
    </row>
    <row r="39" spans="1:31" ht="18">
      <c r="A39" s="1588"/>
      <c r="B39" s="1588"/>
      <c r="C39" s="1588"/>
      <c r="D39" s="1588"/>
      <c r="E39" s="1587"/>
      <c r="F39" s="1587"/>
      <c r="G39" s="1587"/>
      <c r="M39" s="979"/>
      <c r="N39" s="979"/>
      <c r="O39" s="718"/>
      <c r="P39" s="719"/>
      <c r="Q39" s="6"/>
      <c r="R39" s="6"/>
      <c r="S39" s="42"/>
      <c r="T39" s="6"/>
      <c r="U39" s="6"/>
      <c r="V39" s="1584" t="s">
        <v>318</v>
      </c>
      <c r="W39" s="1585"/>
      <c r="X39" s="1585"/>
      <c r="Y39" s="1585"/>
      <c r="Z39" s="1585"/>
      <c r="AA39" s="1586"/>
      <c r="AB39" s="1084">
        <v>5.0999999999999996</v>
      </c>
      <c r="AC39" s="616"/>
      <c r="AD39" s="616"/>
      <c r="AE39" s="616"/>
    </row>
    <row r="40" spans="1:31" ht="13.9" customHeight="1">
      <c r="A40" s="1529"/>
      <c r="B40" s="1529"/>
      <c r="C40" s="1529"/>
      <c r="D40" s="1529"/>
      <c r="E40" s="1508"/>
      <c r="F40" s="1508"/>
      <c r="G40" s="1508"/>
      <c r="M40" s="979"/>
      <c r="N40" s="979"/>
      <c r="O40" s="1195"/>
      <c r="P40" s="719"/>
      <c r="Q40" s="6"/>
      <c r="R40" s="34">
        <v>0</v>
      </c>
      <c r="S40" s="34">
        <v>1</v>
      </c>
      <c r="T40" s="34">
        <v>2</v>
      </c>
      <c r="U40" s="34">
        <v>3</v>
      </c>
      <c r="V40" s="34">
        <v>4</v>
      </c>
      <c r="W40" s="34">
        <v>5</v>
      </c>
      <c r="X40" s="34">
        <v>6</v>
      </c>
      <c r="Y40" s="34">
        <v>7</v>
      </c>
      <c r="Z40" s="34">
        <v>8</v>
      </c>
      <c r="AA40" s="34">
        <v>9</v>
      </c>
      <c r="AB40" s="34">
        <v>10</v>
      </c>
      <c r="AC40" s="616"/>
      <c r="AD40" s="616"/>
      <c r="AE40" s="616"/>
    </row>
    <row r="41" spans="1:31">
      <c r="D41" s="1276" t="s">
        <v>43</v>
      </c>
      <c r="E41" s="1276" t="s">
        <v>44</v>
      </c>
      <c r="F41" s="980">
        <v>1999</v>
      </c>
      <c r="G41" s="980">
        <v>2000</v>
      </c>
      <c r="H41" s="980">
        <v>2001</v>
      </c>
      <c r="I41" s="980">
        <v>2002</v>
      </c>
      <c r="J41" s="980">
        <v>2003</v>
      </c>
      <c r="K41" s="980">
        <v>2004</v>
      </c>
      <c r="L41" s="980">
        <v>2005</v>
      </c>
      <c r="M41" s="980">
        <v>2006</v>
      </c>
      <c r="N41" s="980">
        <v>2007</v>
      </c>
      <c r="O41" s="980">
        <v>2008</v>
      </c>
      <c r="P41" s="980">
        <v>2009</v>
      </c>
      <c r="Q41" s="980">
        <v>2010</v>
      </c>
      <c r="R41" s="980">
        <v>2011</v>
      </c>
      <c r="S41" s="980">
        <v>2012</v>
      </c>
      <c r="T41" s="980">
        <v>2013</v>
      </c>
      <c r="U41" s="980">
        <v>2014</v>
      </c>
      <c r="V41" s="980">
        <v>2015</v>
      </c>
      <c r="W41" s="980">
        <v>2016</v>
      </c>
      <c r="X41" s="980">
        <v>2017</v>
      </c>
      <c r="Y41" s="980">
        <v>2018</v>
      </c>
      <c r="Z41" s="980">
        <v>2019</v>
      </c>
      <c r="AA41" s="980">
        <v>2020</v>
      </c>
      <c r="AB41" s="980">
        <v>2021</v>
      </c>
      <c r="AC41" s="616"/>
      <c r="AD41" s="616"/>
      <c r="AE41" s="616"/>
    </row>
    <row r="42" spans="1:31">
      <c r="A42" s="982" t="s">
        <v>20</v>
      </c>
      <c r="B42" s="625"/>
      <c r="C42" s="626"/>
      <c r="D42" s="626"/>
      <c r="E42" s="965"/>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616"/>
      <c r="AD42" s="616"/>
      <c r="AE42" s="616"/>
    </row>
    <row r="43" spans="1:31">
      <c r="A43" s="709">
        <v>2040</v>
      </c>
      <c r="B43" s="34"/>
      <c r="C43" s="34" t="s">
        <v>324</v>
      </c>
      <c r="D43" s="34"/>
      <c r="E43" s="34"/>
      <c r="F43" s="616" t="e">
        <v>#REF!</v>
      </c>
      <c r="G43" s="616" t="e">
        <v>#REF!</v>
      </c>
      <c r="H43" s="616" t="e">
        <v>#REF!</v>
      </c>
      <c r="I43" s="616" t="e">
        <v>#REF!</v>
      </c>
      <c r="J43" s="616" t="e">
        <v>#REF!</v>
      </c>
      <c r="K43" s="616" t="e">
        <v>#REF!</v>
      </c>
      <c r="L43" s="616" t="e">
        <v>#REF!</v>
      </c>
      <c r="M43" s="616" t="e">
        <v>#REF!</v>
      </c>
      <c r="N43" s="616" t="e">
        <v>#REF!</v>
      </c>
      <c r="O43" s="616" t="e">
        <v>#REF!</v>
      </c>
      <c r="P43" s="616" t="e">
        <v>#REF!</v>
      </c>
      <c r="Q43" s="616" t="e">
        <v>#REF!</v>
      </c>
      <c r="R43" s="616">
        <v>354693</v>
      </c>
      <c r="S43" s="616">
        <v>409295</v>
      </c>
      <c r="T43" s="616">
        <v>319000</v>
      </c>
      <c r="U43" s="616">
        <v>277000</v>
      </c>
      <c r="V43" s="616">
        <v>214000</v>
      </c>
      <c r="W43" s="616">
        <v>223000</v>
      </c>
      <c r="X43" s="616">
        <v>202000</v>
      </c>
      <c r="Y43" s="616">
        <v>172000</v>
      </c>
      <c r="Z43" s="616">
        <v>185000</v>
      </c>
      <c r="AA43" s="616">
        <v>190000</v>
      </c>
      <c r="AB43" s="616">
        <v>305000</v>
      </c>
      <c r="AC43" s="616"/>
      <c r="AD43" s="616"/>
      <c r="AE43" s="616"/>
    </row>
    <row r="44" spans="1:31">
      <c r="A44" s="709">
        <v>2050</v>
      </c>
      <c r="B44" s="34"/>
      <c r="C44" s="34" t="s">
        <v>325</v>
      </c>
      <c r="D44" s="34"/>
      <c r="E44" s="34"/>
      <c r="F44" s="616" t="e">
        <v>#REF!</v>
      </c>
      <c r="G44" s="616" t="e">
        <v>#REF!</v>
      </c>
      <c r="H44" s="616" t="e">
        <v>#REF!</v>
      </c>
      <c r="I44" s="616" t="e">
        <v>#REF!</v>
      </c>
      <c r="J44" s="616" t="e">
        <v>#REF!</v>
      </c>
      <c r="K44" s="616" t="e">
        <v>#REF!</v>
      </c>
      <c r="L44" s="616" t="e">
        <v>#REF!</v>
      </c>
      <c r="M44" s="616" t="e">
        <v>#REF!</v>
      </c>
      <c r="N44" s="616" t="e">
        <v>#REF!</v>
      </c>
      <c r="O44" s="616" t="e">
        <v>#REF!</v>
      </c>
      <c r="P44" s="616" t="e">
        <v>#REF!</v>
      </c>
      <c r="Q44" s="616" t="e">
        <v>#REF!</v>
      </c>
      <c r="R44" s="616">
        <v>60885</v>
      </c>
      <c r="S44" s="616">
        <v>68372</v>
      </c>
      <c r="T44" s="616">
        <v>64000</v>
      </c>
      <c r="U44" s="616">
        <v>55000</v>
      </c>
      <c r="V44" s="616">
        <v>59000</v>
      </c>
      <c r="W44" s="616">
        <v>54000</v>
      </c>
      <c r="X44" s="616">
        <v>64000</v>
      </c>
      <c r="Y44" s="616">
        <v>59000</v>
      </c>
      <c r="Z44" s="616">
        <v>59000</v>
      </c>
      <c r="AA44" s="616">
        <v>68000</v>
      </c>
      <c r="AB44" s="616">
        <v>74000</v>
      </c>
      <c r="AC44" s="616"/>
      <c r="AD44" s="616"/>
      <c r="AE44" s="616"/>
    </row>
    <row r="45" spans="1:31">
      <c r="A45" s="709">
        <v>2060</v>
      </c>
      <c r="B45" s="34"/>
      <c r="C45" s="34" t="s">
        <v>176</v>
      </c>
      <c r="D45" s="34"/>
      <c r="E45" s="34"/>
      <c r="F45" s="616">
        <v>489</v>
      </c>
      <c r="G45" s="616">
        <v>-7608</v>
      </c>
      <c r="H45" s="616">
        <v>0</v>
      </c>
      <c r="I45" s="616">
        <v>0</v>
      </c>
      <c r="J45" s="616">
        <v>0</v>
      </c>
      <c r="K45" s="616">
        <v>2545</v>
      </c>
      <c r="L45" s="616">
        <v>2257</v>
      </c>
      <c r="M45" s="616">
        <v>2085</v>
      </c>
      <c r="N45" s="616">
        <v>0</v>
      </c>
      <c r="O45" s="616">
        <v>0</v>
      </c>
      <c r="P45" s="616">
        <v>28041</v>
      </c>
      <c r="Q45" s="616">
        <v>31633</v>
      </c>
      <c r="R45" s="616">
        <v>0</v>
      </c>
      <c r="S45" s="616">
        <v>27831</v>
      </c>
      <c r="T45" s="616">
        <v>15000</v>
      </c>
      <c r="U45" s="616">
        <v>19000</v>
      </c>
      <c r="V45" s="616">
        <v>0</v>
      </c>
      <c r="W45" s="616">
        <v>0</v>
      </c>
      <c r="X45" s="616">
        <v>4000</v>
      </c>
      <c r="Y45" s="616">
        <v>7000</v>
      </c>
      <c r="Z45" s="616">
        <v>34000</v>
      </c>
      <c r="AA45" s="616">
        <v>28000</v>
      </c>
      <c r="AB45" s="616">
        <v>39000</v>
      </c>
      <c r="AC45" s="616"/>
      <c r="AD45" s="616"/>
      <c r="AE45" s="616"/>
    </row>
    <row r="46" spans="1:31">
      <c r="A46" s="709">
        <v>2010</v>
      </c>
      <c r="B46" s="34"/>
      <c r="C46" s="34" t="s">
        <v>177</v>
      </c>
      <c r="D46" s="34"/>
      <c r="E46" s="34"/>
      <c r="F46" s="616" t="e">
        <v>#REF!</v>
      </c>
      <c r="G46" s="616" t="e">
        <v>#REF!</v>
      </c>
      <c r="H46" s="616" t="e">
        <v>#REF!</v>
      </c>
      <c r="I46" s="616" t="e">
        <v>#REF!</v>
      </c>
      <c r="J46" s="616" t="e">
        <v>#REF!</v>
      </c>
      <c r="K46" s="616" t="e">
        <v>#REF!</v>
      </c>
      <c r="L46" s="616" t="e">
        <v>#REF!</v>
      </c>
      <c r="M46" s="616" t="e">
        <v>#REF!</v>
      </c>
      <c r="N46" s="616" t="e">
        <v>#REF!</v>
      </c>
      <c r="O46" s="616" t="e">
        <v>#REF!</v>
      </c>
      <c r="P46" s="616" t="e">
        <v>#REF!</v>
      </c>
      <c r="Q46" s="616" t="e">
        <v>#REF!</v>
      </c>
      <c r="R46" s="616"/>
      <c r="S46" s="616"/>
      <c r="T46" s="616"/>
      <c r="U46" s="756"/>
      <c r="V46" s="755"/>
      <c r="W46" s="755"/>
      <c r="X46" s="755"/>
      <c r="Y46" s="755">
        <v>42000</v>
      </c>
      <c r="Z46" s="755"/>
      <c r="AA46" s="755"/>
      <c r="AB46" s="616"/>
      <c r="AC46" s="616"/>
      <c r="AD46" s="616"/>
      <c r="AE46" s="616"/>
    </row>
    <row r="47" spans="1:31">
      <c r="A47" s="709">
        <v>2000</v>
      </c>
      <c r="B47" s="34"/>
      <c r="C47" s="34" t="s">
        <v>179</v>
      </c>
      <c r="D47" s="34"/>
      <c r="E47" s="34"/>
      <c r="F47" s="702">
        <v>49500</v>
      </c>
      <c r="G47" s="702">
        <v>23198</v>
      </c>
      <c r="H47" s="702">
        <v>378371</v>
      </c>
      <c r="I47" s="702">
        <v>184731</v>
      </c>
      <c r="J47" s="702">
        <v>723098</v>
      </c>
      <c r="K47" s="702">
        <v>158310</v>
      </c>
      <c r="L47" s="702">
        <v>370141</v>
      </c>
      <c r="M47" s="702">
        <v>0</v>
      </c>
      <c r="N47" s="702">
        <v>0</v>
      </c>
      <c r="O47" s="702">
        <v>149808</v>
      </c>
      <c r="P47" s="702">
        <v>123166</v>
      </c>
      <c r="Q47" s="702">
        <v>284417</v>
      </c>
      <c r="R47" s="702">
        <v>3012</v>
      </c>
      <c r="S47" s="702">
        <v>101907</v>
      </c>
      <c r="T47" s="702">
        <v>671000</v>
      </c>
      <c r="U47" s="702">
        <v>237000</v>
      </c>
      <c r="V47" s="702">
        <v>531000</v>
      </c>
      <c r="W47" s="702">
        <v>305000</v>
      </c>
      <c r="X47" s="702">
        <v>391000</v>
      </c>
      <c r="Y47" s="702">
        <v>513000</v>
      </c>
      <c r="Z47" s="702">
        <v>127000</v>
      </c>
      <c r="AA47" s="702">
        <v>220000</v>
      </c>
      <c r="AB47" s="702">
        <v>163000</v>
      </c>
      <c r="AC47" s="616"/>
      <c r="AD47" s="616"/>
      <c r="AE47" s="616"/>
    </row>
    <row r="48" spans="1:31">
      <c r="A48" s="1126"/>
      <c r="B48" s="34"/>
      <c r="C48" s="34"/>
      <c r="D48" s="34"/>
      <c r="E48" s="34"/>
      <c r="F48" s="616" t="e">
        <v>#REF!</v>
      </c>
      <c r="G48" s="616" t="e">
        <v>#REF!</v>
      </c>
      <c r="H48" s="616" t="e">
        <v>#REF!</v>
      </c>
      <c r="I48" s="616" t="e">
        <v>#REF!</v>
      </c>
      <c r="J48" s="616" t="e">
        <v>#REF!</v>
      </c>
      <c r="K48" s="616" t="e">
        <v>#REF!</v>
      </c>
      <c r="L48" s="616" t="e">
        <v>#REF!</v>
      </c>
      <c r="M48" s="616" t="e">
        <v>#REF!</v>
      </c>
      <c r="N48" s="616" t="e">
        <v>#REF!</v>
      </c>
      <c r="O48" s="616" t="e">
        <v>#REF!</v>
      </c>
      <c r="P48" s="616" t="e">
        <v>#REF!</v>
      </c>
      <c r="Q48" s="616" t="e">
        <v>#REF!</v>
      </c>
      <c r="R48" s="616">
        <v>418590</v>
      </c>
      <c r="S48" s="616">
        <v>607405</v>
      </c>
      <c r="T48" s="616">
        <v>1069000</v>
      </c>
      <c r="U48" s="616">
        <v>588000</v>
      </c>
      <c r="V48" s="616">
        <v>804000</v>
      </c>
      <c r="W48" s="616">
        <v>582000</v>
      </c>
      <c r="X48" s="616">
        <v>661000</v>
      </c>
      <c r="Y48" s="616">
        <v>793000</v>
      </c>
      <c r="Z48" s="616">
        <v>405000</v>
      </c>
      <c r="AA48" s="616">
        <v>506000</v>
      </c>
      <c r="AB48" s="616">
        <v>581000</v>
      </c>
      <c r="AC48" s="616"/>
      <c r="AD48" s="616"/>
      <c r="AE48" s="616"/>
    </row>
    <row r="49" spans="1:31">
      <c r="A49" s="1126"/>
      <c r="B49" s="34"/>
      <c r="C49" s="34"/>
      <c r="D49" s="34"/>
      <c r="E49" s="34"/>
      <c r="F49" s="616"/>
      <c r="G49" s="616"/>
      <c r="H49" s="616"/>
      <c r="I49" s="616"/>
      <c r="J49" s="616"/>
      <c r="K49" s="616"/>
      <c r="L49" s="616"/>
      <c r="M49" s="616"/>
      <c r="N49" s="616"/>
      <c r="O49" s="616"/>
      <c r="P49" s="616"/>
      <c r="Q49" s="616"/>
      <c r="R49" s="616"/>
      <c r="S49" s="616"/>
      <c r="T49" s="616"/>
      <c r="U49" s="616"/>
      <c r="V49" s="616"/>
      <c r="W49" s="616"/>
      <c r="X49" s="616"/>
      <c r="Y49" s="616"/>
      <c r="Z49" s="616"/>
      <c r="AA49" s="616"/>
      <c r="AB49" s="616"/>
      <c r="AC49" s="616"/>
      <c r="AD49" s="616"/>
      <c r="AE49" s="616"/>
    </row>
    <row r="50" spans="1:31">
      <c r="A50" s="1260">
        <v>2710</v>
      </c>
      <c r="B50" s="34"/>
      <c r="C50" s="34" t="s">
        <v>255</v>
      </c>
      <c r="D50" s="34"/>
      <c r="E50" s="34"/>
      <c r="F50" s="616">
        <v>5014</v>
      </c>
      <c r="G50" s="616">
        <v>28728</v>
      </c>
      <c r="H50" s="616">
        <v>66401</v>
      </c>
      <c r="I50" s="616">
        <v>92031</v>
      </c>
      <c r="J50" s="616">
        <v>138871</v>
      </c>
      <c r="K50" s="616">
        <v>145260</v>
      </c>
      <c r="L50" s="616">
        <v>179168</v>
      </c>
      <c r="M50" s="616">
        <v>970959</v>
      </c>
      <c r="N50" s="616">
        <v>1331772</v>
      </c>
      <c r="O50" s="616">
        <v>1329478</v>
      </c>
      <c r="P50" s="616">
        <v>1301231</v>
      </c>
      <c r="Q50" s="616">
        <v>1559507</v>
      </c>
      <c r="R50" s="616">
        <v>680204</v>
      </c>
      <c r="S50" s="616">
        <v>700479</v>
      </c>
      <c r="T50" s="616">
        <v>735000</v>
      </c>
      <c r="U50" s="616">
        <v>768000</v>
      </c>
      <c r="V50" s="616">
        <v>792000</v>
      </c>
      <c r="W50" s="616">
        <v>736000</v>
      </c>
      <c r="X50" s="616">
        <v>749000</v>
      </c>
      <c r="Y50" s="616">
        <v>751000</v>
      </c>
      <c r="Z50" s="616">
        <v>676000</v>
      </c>
      <c r="AA50" s="616">
        <v>653000</v>
      </c>
      <c r="AB50" s="616">
        <v>635000</v>
      </c>
      <c r="AC50" s="616"/>
      <c r="AD50" s="616"/>
      <c r="AE50" s="616"/>
    </row>
    <row r="51" spans="1:31">
      <c r="A51" s="1260">
        <v>2370</v>
      </c>
      <c r="B51" s="34"/>
      <c r="C51" s="1111" t="s">
        <v>151</v>
      </c>
      <c r="D51" s="1111"/>
      <c r="E51" s="34"/>
      <c r="F51" s="616"/>
      <c r="G51" s="616"/>
      <c r="H51" s="616"/>
      <c r="I51" s="616"/>
      <c r="J51" s="616"/>
      <c r="K51" s="616"/>
      <c r="L51" s="616"/>
      <c r="M51" s="616"/>
      <c r="N51" s="616"/>
      <c r="O51" s="616"/>
      <c r="P51" s="616"/>
      <c r="Q51" s="616"/>
      <c r="R51" s="616">
        <v>25489</v>
      </c>
      <c r="S51" s="616">
        <v>5526</v>
      </c>
      <c r="T51" s="616">
        <v>1000</v>
      </c>
      <c r="U51" s="616">
        <v>4000</v>
      </c>
      <c r="V51" s="616">
        <v>6000</v>
      </c>
      <c r="W51" s="616">
        <v>2000</v>
      </c>
      <c r="X51" s="616">
        <v>13000</v>
      </c>
      <c r="Y51" s="616">
        <v>3000</v>
      </c>
      <c r="Z51" s="616">
        <v>32000</v>
      </c>
      <c r="AA51" s="616">
        <v>36000</v>
      </c>
      <c r="AB51" s="616">
        <v>116000</v>
      </c>
      <c r="AC51" s="616" t="s">
        <v>1408</v>
      </c>
      <c r="AD51" s="616"/>
      <c r="AE51" s="616"/>
    </row>
    <row r="52" spans="1:31">
      <c r="A52" s="1260">
        <v>2420</v>
      </c>
      <c r="B52" s="34"/>
      <c r="C52" s="1111" t="s">
        <v>155</v>
      </c>
      <c r="D52" s="1111"/>
      <c r="E52" s="34"/>
      <c r="F52" s="616">
        <v>0</v>
      </c>
      <c r="G52" s="616">
        <v>0</v>
      </c>
      <c r="H52" s="616">
        <v>0</v>
      </c>
      <c r="I52" s="616">
        <v>0</v>
      </c>
      <c r="J52" s="616">
        <v>0</v>
      </c>
      <c r="K52" s="616">
        <v>0</v>
      </c>
      <c r="L52" s="616">
        <v>0</v>
      </c>
      <c r="M52" s="616">
        <v>21004</v>
      </c>
      <c r="N52" s="616">
        <v>124669</v>
      </c>
      <c r="O52" s="616">
        <v>56448</v>
      </c>
      <c r="P52" s="616">
        <v>52054</v>
      </c>
      <c r="Q52" s="616">
        <v>84752</v>
      </c>
      <c r="R52" s="616">
        <v>201002</v>
      </c>
      <c r="S52" s="616">
        <v>178820</v>
      </c>
      <c r="T52" s="616">
        <v>146000</v>
      </c>
      <c r="U52" s="616">
        <v>161000</v>
      </c>
      <c r="V52" s="616">
        <v>75000</v>
      </c>
      <c r="W52" s="616">
        <v>104000</v>
      </c>
      <c r="X52" s="616">
        <v>89000</v>
      </c>
      <c r="Y52" s="616">
        <v>58000</v>
      </c>
      <c r="Z52" s="616">
        <v>81000</v>
      </c>
      <c r="AA52" s="616">
        <v>91000</v>
      </c>
      <c r="AB52" s="616">
        <v>60000</v>
      </c>
      <c r="AC52" s="616"/>
      <c r="AD52" s="616"/>
      <c r="AE52" s="616"/>
    </row>
    <row r="53" spans="1:31">
      <c r="A53" s="1260">
        <v>2430</v>
      </c>
      <c r="B53" s="34"/>
      <c r="C53" s="34" t="s">
        <v>180</v>
      </c>
      <c r="D53" s="34"/>
      <c r="E53" s="34"/>
      <c r="F53" s="616" t="e">
        <v>#REF!</v>
      </c>
      <c r="G53" s="616" t="e">
        <v>#REF!</v>
      </c>
      <c r="H53" s="616" t="e">
        <v>#REF!</v>
      </c>
      <c r="I53" s="616" t="e">
        <v>#REF!</v>
      </c>
      <c r="J53" s="616" t="e">
        <v>#REF!</v>
      </c>
      <c r="K53" s="616" t="e">
        <v>#REF!</v>
      </c>
      <c r="L53" s="616" t="e">
        <v>#REF!</v>
      </c>
      <c r="M53" s="616" t="e">
        <v>#REF!</v>
      </c>
      <c r="N53" s="616" t="e">
        <v>#REF!</v>
      </c>
      <c r="O53" s="616" t="e">
        <v>#REF!</v>
      </c>
      <c r="P53" s="616" t="e">
        <v>#REF!</v>
      </c>
      <c r="Q53" s="616" t="e">
        <v>#REF!</v>
      </c>
      <c r="R53" s="616">
        <v>494</v>
      </c>
      <c r="S53" s="616">
        <v>0</v>
      </c>
      <c r="T53" s="616">
        <v>10000</v>
      </c>
      <c r="U53" s="616">
        <v>26000</v>
      </c>
      <c r="V53" s="616">
        <v>22000</v>
      </c>
      <c r="W53" s="616">
        <v>14000</v>
      </c>
      <c r="X53" s="616">
        <v>7000</v>
      </c>
      <c r="Y53" s="616">
        <v>7000</v>
      </c>
      <c r="Z53" s="616">
        <v>9000</v>
      </c>
      <c r="AA53" s="616">
        <v>11000</v>
      </c>
      <c r="AB53" s="616">
        <v>16000</v>
      </c>
      <c r="AC53" s="616"/>
      <c r="AD53" s="616"/>
      <c r="AE53" s="616"/>
    </row>
    <row r="54" spans="1:31">
      <c r="A54" s="1260">
        <v>2300</v>
      </c>
      <c r="B54" s="34"/>
      <c r="C54" s="34" t="s">
        <v>182</v>
      </c>
      <c r="D54" s="34"/>
      <c r="E54" s="34"/>
      <c r="F54" s="702">
        <v>477911</v>
      </c>
      <c r="G54" s="702">
        <v>464554</v>
      </c>
      <c r="H54" s="702">
        <v>180444</v>
      </c>
      <c r="I54" s="702">
        <v>591498</v>
      </c>
      <c r="J54" s="702">
        <v>653178</v>
      </c>
      <c r="K54" s="702">
        <v>1176566</v>
      </c>
      <c r="L54" s="702">
        <v>1021825</v>
      </c>
      <c r="M54" s="702">
        <v>760194</v>
      </c>
      <c r="N54" s="702">
        <v>629707</v>
      </c>
      <c r="O54" s="702">
        <v>793226</v>
      </c>
      <c r="P54" s="702">
        <v>1128695</v>
      </c>
      <c r="Q54" s="702">
        <v>1323058</v>
      </c>
      <c r="R54" s="702">
        <v>1082110</v>
      </c>
      <c r="S54" s="702">
        <v>1202026</v>
      </c>
      <c r="T54" s="702">
        <v>699000</v>
      </c>
      <c r="U54" s="702">
        <v>1057000</v>
      </c>
      <c r="V54" s="702">
        <v>1219000</v>
      </c>
      <c r="W54" s="702">
        <v>1391000</v>
      </c>
      <c r="X54" s="702">
        <v>1158000</v>
      </c>
      <c r="Y54" s="702">
        <v>972000</v>
      </c>
      <c r="Z54" s="702">
        <v>969000</v>
      </c>
      <c r="AA54" s="702">
        <v>978000</v>
      </c>
      <c r="AB54" s="702">
        <v>693000</v>
      </c>
      <c r="AC54" s="616"/>
      <c r="AD54" s="616"/>
      <c r="AE54" s="616"/>
    </row>
    <row r="55" spans="1:31">
      <c r="A55" s="1126"/>
      <c r="B55" s="34"/>
      <c r="C55" s="34"/>
      <c r="D55" s="34"/>
      <c r="E55" s="34"/>
      <c r="F55" s="616" t="e">
        <v>#REF!</v>
      </c>
      <c r="G55" s="616" t="e">
        <v>#REF!</v>
      </c>
      <c r="H55" s="616" t="e">
        <v>#REF!</v>
      </c>
      <c r="I55" s="616" t="e">
        <v>#REF!</v>
      </c>
      <c r="J55" s="616" t="e">
        <v>#REF!</v>
      </c>
      <c r="K55" s="616" t="e">
        <v>#REF!</v>
      </c>
      <c r="L55" s="616" t="e">
        <v>#REF!</v>
      </c>
      <c r="M55" s="616" t="e">
        <v>#REF!</v>
      </c>
      <c r="N55" s="616" t="e">
        <v>#REF!</v>
      </c>
      <c r="O55" s="616" t="e">
        <v>#REF!</v>
      </c>
      <c r="P55" s="616" t="e">
        <v>#REF!</v>
      </c>
      <c r="Q55" s="616" t="e">
        <v>#REF!</v>
      </c>
      <c r="R55" s="616">
        <v>1989299</v>
      </c>
      <c r="S55" s="616">
        <v>2086851</v>
      </c>
      <c r="T55" s="616">
        <v>1591000</v>
      </c>
      <c r="U55" s="616">
        <v>2016000</v>
      </c>
      <c r="V55" s="616">
        <v>2114000</v>
      </c>
      <c r="W55" s="616">
        <v>2247000</v>
      </c>
      <c r="X55" s="616">
        <v>2016000</v>
      </c>
      <c r="Y55" s="616">
        <v>1791000</v>
      </c>
      <c r="Z55" s="616">
        <v>1767000</v>
      </c>
      <c r="AA55" s="616">
        <v>1769000</v>
      </c>
      <c r="AB55" s="616">
        <v>1520000</v>
      </c>
      <c r="AC55" s="616"/>
      <c r="AD55" s="616"/>
      <c r="AE55" s="616"/>
    </row>
    <row r="56" spans="1:31">
      <c r="A56" s="1126"/>
      <c r="B56" s="34"/>
      <c r="C56" s="34"/>
      <c r="D56" s="34"/>
      <c r="E56" s="34"/>
      <c r="F56" s="616"/>
      <c r="G56" s="616"/>
      <c r="H56" s="616"/>
      <c r="I56" s="616"/>
      <c r="J56" s="616"/>
      <c r="K56" s="616"/>
      <c r="L56" s="616"/>
      <c r="M56" s="616"/>
      <c r="N56" s="616"/>
      <c r="O56" s="616"/>
      <c r="P56" s="34"/>
      <c r="Q56" s="616"/>
      <c r="R56" s="616"/>
      <c r="S56" s="616"/>
      <c r="T56" s="45"/>
      <c r="U56" s="45"/>
      <c r="V56" s="45"/>
      <c r="W56" s="45"/>
      <c r="X56" s="45"/>
      <c r="Y56" s="34"/>
      <c r="Z56" s="34"/>
      <c r="AA56" s="34"/>
      <c r="AB56" s="34"/>
      <c r="AC56" s="616"/>
      <c r="AD56" s="616"/>
      <c r="AE56" s="616"/>
    </row>
    <row r="57" spans="1:31">
      <c r="A57" s="1260">
        <v>2800</v>
      </c>
      <c r="B57" s="34"/>
      <c r="C57" s="34" t="s">
        <v>183</v>
      </c>
      <c r="D57" s="34"/>
      <c r="E57" s="34"/>
      <c r="F57" s="616">
        <v>1600000</v>
      </c>
      <c r="G57" s="616">
        <v>1600000</v>
      </c>
      <c r="H57" s="616">
        <v>1600000</v>
      </c>
      <c r="I57" s="616">
        <v>1600000</v>
      </c>
      <c r="J57" s="616">
        <v>1600000</v>
      </c>
      <c r="K57" s="616">
        <v>1600000</v>
      </c>
      <c r="L57" s="616">
        <v>1600000</v>
      </c>
      <c r="M57" s="616">
        <v>1600000</v>
      </c>
      <c r="N57" s="616">
        <v>1600000</v>
      </c>
      <c r="O57" s="616">
        <v>1600000</v>
      </c>
      <c r="P57" s="616">
        <v>1600000</v>
      </c>
      <c r="Q57" s="616">
        <v>1600000</v>
      </c>
      <c r="R57" s="616">
        <v>1412860</v>
      </c>
      <c r="S57" s="616">
        <v>1534289</v>
      </c>
      <c r="T57" s="616">
        <v>1605000</v>
      </c>
      <c r="U57" s="616">
        <v>1605000</v>
      </c>
      <c r="V57" s="616">
        <v>1605000</v>
      </c>
      <c r="W57" s="616">
        <v>1515000</v>
      </c>
      <c r="X57" s="616">
        <v>1515000</v>
      </c>
      <c r="Y57" s="616">
        <v>1520000</v>
      </c>
      <c r="Z57" s="616">
        <v>1523000</v>
      </c>
      <c r="AA57" s="616">
        <v>1528000</v>
      </c>
      <c r="AB57" s="616">
        <v>1922000</v>
      </c>
      <c r="AC57" s="616"/>
      <c r="AD57" s="616"/>
      <c r="AE57" s="616"/>
    </row>
    <row r="58" spans="1:31">
      <c r="A58" s="1260">
        <v>2940</v>
      </c>
      <c r="B58" s="34"/>
      <c r="C58" s="34" t="s">
        <v>185</v>
      </c>
      <c r="D58" s="34"/>
      <c r="E58" s="34"/>
      <c r="F58" s="616">
        <v>0</v>
      </c>
      <c r="G58" s="616">
        <v>0</v>
      </c>
      <c r="H58" s="616">
        <v>1387</v>
      </c>
      <c r="I58" s="616">
        <v>-7570</v>
      </c>
      <c r="J58" s="616">
        <v>-2099</v>
      </c>
      <c r="K58" s="616">
        <v>-15627</v>
      </c>
      <c r="L58" s="616">
        <v>-17724</v>
      </c>
      <c r="M58" s="616">
        <v>6</v>
      </c>
      <c r="N58" s="616">
        <v>4</v>
      </c>
      <c r="O58" s="616">
        <v>85</v>
      </c>
      <c r="P58" s="616">
        <v>340</v>
      </c>
      <c r="Q58" s="616">
        <v>-2720</v>
      </c>
      <c r="R58" s="616">
        <v>0</v>
      </c>
      <c r="S58" s="616">
        <v>7862</v>
      </c>
      <c r="T58" s="616">
        <v>0</v>
      </c>
      <c r="U58" s="616">
        <v>0</v>
      </c>
      <c r="V58" s="616">
        <v>0</v>
      </c>
      <c r="W58" s="616">
        <v>0</v>
      </c>
      <c r="X58" s="616">
        <v>0</v>
      </c>
      <c r="Y58" s="616">
        <v>0</v>
      </c>
      <c r="Z58" s="616">
        <v>0</v>
      </c>
      <c r="AA58" s="616">
        <v>0</v>
      </c>
      <c r="AB58" s="616">
        <v>0</v>
      </c>
      <c r="AC58" s="616"/>
      <c r="AD58" s="616"/>
      <c r="AE58" s="616"/>
    </row>
    <row r="59" spans="1:31">
      <c r="A59" s="1260">
        <v>2840</v>
      </c>
      <c r="B59" s="34"/>
      <c r="C59" s="34" t="s">
        <v>186</v>
      </c>
      <c r="D59" s="34"/>
      <c r="E59" s="34"/>
      <c r="F59" s="616">
        <v>0</v>
      </c>
      <c r="G59" s="616">
        <v>0</v>
      </c>
      <c r="H59" s="616">
        <v>0</v>
      </c>
      <c r="I59" s="616">
        <v>0</v>
      </c>
      <c r="J59" s="616">
        <v>0</v>
      </c>
      <c r="K59" s="616">
        <v>0</v>
      </c>
      <c r="L59" s="616">
        <v>0</v>
      </c>
      <c r="M59" s="616">
        <v>14891</v>
      </c>
      <c r="N59" s="616">
        <v>2316</v>
      </c>
      <c r="O59" s="616">
        <v>-24352</v>
      </c>
      <c r="P59" s="616">
        <v>-5525</v>
      </c>
      <c r="Q59" s="616">
        <v>659</v>
      </c>
      <c r="R59" s="616">
        <v>420</v>
      </c>
      <c r="S59" s="616">
        <v>-8325</v>
      </c>
      <c r="T59" s="616">
        <v>4000</v>
      </c>
      <c r="U59" s="616">
        <v>-5000</v>
      </c>
      <c r="V59" s="616">
        <v>5000</v>
      </c>
      <c r="W59" s="616">
        <v>7000</v>
      </c>
      <c r="X59" s="616">
        <v>-8000</v>
      </c>
      <c r="Y59" s="616">
        <v>7000</v>
      </c>
      <c r="Z59" s="616">
        <v>-39000</v>
      </c>
      <c r="AA59" s="616">
        <v>-49000</v>
      </c>
      <c r="AB59" s="616">
        <v>-51000</v>
      </c>
      <c r="AC59" s="616"/>
      <c r="AD59" s="616"/>
      <c r="AE59" s="616"/>
    </row>
    <row r="60" spans="1:31">
      <c r="A60" s="1260">
        <v>2840</v>
      </c>
      <c r="B60" s="34"/>
      <c r="C60" s="34" t="s">
        <v>187</v>
      </c>
      <c r="D60" s="34"/>
      <c r="E60" s="34"/>
      <c r="F60" s="616">
        <v>0</v>
      </c>
      <c r="G60" s="616">
        <v>0</v>
      </c>
      <c r="H60" s="616">
        <v>0</v>
      </c>
      <c r="I60" s="616">
        <v>0</v>
      </c>
      <c r="J60" s="616">
        <v>0</v>
      </c>
      <c r="K60" s="616">
        <v>0</v>
      </c>
      <c r="L60" s="616">
        <v>0</v>
      </c>
      <c r="M60" s="616">
        <v>1065</v>
      </c>
      <c r="N60" s="616">
        <v>1544</v>
      </c>
      <c r="O60" s="616">
        <v>-673</v>
      </c>
      <c r="P60" s="616">
        <v>380</v>
      </c>
      <c r="Q60" s="616">
        <v>387</v>
      </c>
      <c r="R60" s="616">
        <v>-37134</v>
      </c>
      <c r="S60" s="616">
        <v>0</v>
      </c>
      <c r="T60" s="616">
        <v>0</v>
      </c>
      <c r="U60" s="616">
        <v>0</v>
      </c>
      <c r="V60" s="616">
        <v>0</v>
      </c>
      <c r="W60" s="616">
        <v>0</v>
      </c>
      <c r="X60" s="616">
        <v>0</v>
      </c>
      <c r="Y60" s="616">
        <v>0</v>
      </c>
      <c r="Z60" s="616">
        <v>0</v>
      </c>
      <c r="AA60" s="616">
        <v>0</v>
      </c>
      <c r="AB60" s="616">
        <v>0</v>
      </c>
      <c r="AC60" s="616"/>
      <c r="AD60" s="616"/>
      <c r="AE60" s="616"/>
    </row>
    <row r="61" spans="1:31">
      <c r="A61" s="1260">
        <v>2840</v>
      </c>
      <c r="B61" s="34"/>
      <c r="C61" s="34" t="s">
        <v>184</v>
      </c>
      <c r="D61" s="34"/>
      <c r="E61" s="34"/>
      <c r="F61" s="616">
        <v>0</v>
      </c>
      <c r="G61" s="616">
        <v>0</v>
      </c>
      <c r="H61" s="616">
        <v>0</v>
      </c>
      <c r="I61" s="616">
        <v>0</v>
      </c>
      <c r="J61" s="616">
        <v>0</v>
      </c>
      <c r="K61" s="616">
        <v>0</v>
      </c>
      <c r="L61" s="616">
        <v>0</v>
      </c>
      <c r="M61" s="616">
        <v>0</v>
      </c>
      <c r="N61" s="616">
        <v>0</v>
      </c>
      <c r="O61" s="616">
        <v>0</v>
      </c>
      <c r="P61" s="616">
        <v>0</v>
      </c>
      <c r="Q61" s="616">
        <v>0</v>
      </c>
      <c r="R61" s="616">
        <v>5364</v>
      </c>
      <c r="S61" s="616">
        <v>0</v>
      </c>
      <c r="T61" s="616">
        <v>11000</v>
      </c>
      <c r="U61" s="616">
        <v>14000</v>
      </c>
      <c r="V61" s="616">
        <v>15000</v>
      </c>
      <c r="W61" s="616">
        <v>7000</v>
      </c>
      <c r="X61" s="616">
        <v>8000</v>
      </c>
      <c r="Y61" s="616">
        <v>6000</v>
      </c>
      <c r="Z61" s="616">
        <v>10000</v>
      </c>
      <c r="AA61" s="616">
        <v>8000</v>
      </c>
      <c r="AB61" s="616">
        <v>8000</v>
      </c>
      <c r="AC61" s="616"/>
      <c r="AD61" s="616"/>
      <c r="AE61" s="616"/>
    </row>
    <row r="62" spans="1:31">
      <c r="A62" s="1260">
        <v>2930</v>
      </c>
      <c r="B62" s="34"/>
      <c r="C62" s="34" t="s">
        <v>330</v>
      </c>
      <c r="D62" s="34"/>
      <c r="E62" s="34"/>
      <c r="F62" s="702">
        <v>-38645</v>
      </c>
      <c r="G62" s="702">
        <v>-4662</v>
      </c>
      <c r="H62" s="702">
        <v>-61041</v>
      </c>
      <c r="I62" s="702">
        <v>-7985</v>
      </c>
      <c r="J62" s="702">
        <v>24099</v>
      </c>
      <c r="K62" s="702">
        <v>139604</v>
      </c>
      <c r="L62" s="702">
        <v>209002</v>
      </c>
      <c r="M62" s="702">
        <v>169389</v>
      </c>
      <c r="N62" s="702">
        <v>39807</v>
      </c>
      <c r="O62" s="702">
        <v>-111560</v>
      </c>
      <c r="P62" s="702">
        <v>-50648</v>
      </c>
      <c r="Q62" s="702">
        <v>-215998</v>
      </c>
      <c r="R62" s="702">
        <v>1854100</v>
      </c>
      <c r="S62" s="702">
        <v>1883846</v>
      </c>
      <c r="T62" s="702">
        <v>1917000</v>
      </c>
      <c r="U62" s="702">
        <v>1968000</v>
      </c>
      <c r="V62" s="702">
        <v>1546000</v>
      </c>
      <c r="W62" s="702">
        <v>1294000</v>
      </c>
      <c r="X62" s="702">
        <v>1263000</v>
      </c>
      <c r="Y62" s="702">
        <v>1194000</v>
      </c>
      <c r="Z62" s="702">
        <v>1288000</v>
      </c>
      <c r="AA62" s="702">
        <v>1134000</v>
      </c>
      <c r="AB62" s="702">
        <v>1048000</v>
      </c>
      <c r="AC62" s="616"/>
      <c r="AD62" s="616"/>
      <c r="AE62" s="616"/>
    </row>
    <row r="63" spans="1:31">
      <c r="A63" s="1126"/>
      <c r="B63" s="34"/>
      <c r="C63" s="34" t="s">
        <v>192</v>
      </c>
      <c r="D63" s="34"/>
      <c r="E63" s="34"/>
      <c r="F63" s="616" t="e">
        <v>#REF!</v>
      </c>
      <c r="G63" s="616" t="e">
        <v>#REF!</v>
      </c>
      <c r="H63" s="616" t="e">
        <v>#REF!</v>
      </c>
      <c r="I63" s="616" t="e">
        <v>#REF!</v>
      </c>
      <c r="J63" s="616" t="e">
        <v>#REF!</v>
      </c>
      <c r="K63" s="616" t="e">
        <v>#REF!</v>
      </c>
      <c r="L63" s="616" t="e">
        <v>#REF!</v>
      </c>
      <c r="M63" s="616" t="e">
        <v>#REF!</v>
      </c>
      <c r="N63" s="616" t="e">
        <v>#REF!</v>
      </c>
      <c r="O63" s="616" t="e">
        <v>#REF!</v>
      </c>
      <c r="P63" s="616" t="e">
        <v>#REF!</v>
      </c>
      <c r="Q63" s="616" t="e">
        <v>#REF!</v>
      </c>
      <c r="R63" s="616">
        <v>3235610</v>
      </c>
      <c r="S63" s="616">
        <v>3417672</v>
      </c>
      <c r="T63" s="616">
        <v>3537000</v>
      </c>
      <c r="U63" s="616">
        <v>3582000</v>
      </c>
      <c r="V63" s="616">
        <v>3171000</v>
      </c>
      <c r="W63" s="616">
        <v>2823000</v>
      </c>
      <c r="X63" s="616">
        <v>2778000</v>
      </c>
      <c r="Y63" s="616">
        <v>2727000</v>
      </c>
      <c r="Z63" s="616">
        <v>2782000</v>
      </c>
      <c r="AA63" s="616">
        <v>2621000</v>
      </c>
      <c r="AB63" s="616">
        <v>2927000</v>
      </c>
    </row>
    <row r="64" spans="1:31">
      <c r="A64" s="1260">
        <v>2770</v>
      </c>
      <c r="B64" s="34"/>
      <c r="C64" s="34" t="s">
        <v>1407</v>
      </c>
      <c r="D64" s="34"/>
      <c r="E64" s="34"/>
      <c r="F64" s="616" t="e">
        <v>#REF!</v>
      </c>
      <c r="G64" s="616" t="e">
        <v>#REF!</v>
      </c>
      <c r="H64" s="616" t="e">
        <v>#REF!</v>
      </c>
      <c r="I64" s="616" t="e">
        <v>#REF!</v>
      </c>
      <c r="J64" s="616" t="e">
        <v>#REF!</v>
      </c>
      <c r="K64" s="616" t="e">
        <v>#REF!</v>
      </c>
      <c r="L64" s="616" t="e">
        <v>#REF!</v>
      </c>
      <c r="M64" s="616" t="e">
        <v>#REF!</v>
      </c>
      <c r="N64" s="616" t="e">
        <v>#REF!</v>
      </c>
      <c r="O64" s="616" t="e">
        <v>#REF!</v>
      </c>
      <c r="P64" s="616" t="e">
        <v>#REF!</v>
      </c>
      <c r="Q64" s="616" t="e">
        <v>#REF!</v>
      </c>
      <c r="R64" s="616">
        <v>-9</v>
      </c>
      <c r="S64" s="616">
        <v>464</v>
      </c>
      <c r="T64" s="616"/>
      <c r="U64" s="616"/>
      <c r="V64" s="616"/>
      <c r="W64" s="616"/>
      <c r="X64" s="616"/>
      <c r="Y64" s="616"/>
      <c r="Z64" s="616"/>
      <c r="AA64" s="616"/>
      <c r="AB64" s="616"/>
    </row>
    <row r="65" spans="1:29" ht="13.5" thickBot="1">
      <c r="A65" s="1161"/>
      <c r="B65" s="34"/>
      <c r="C65" s="613" t="s">
        <v>165</v>
      </c>
      <c r="D65" s="613"/>
      <c r="E65" s="34"/>
      <c r="F65" s="725" t="e">
        <v>#REF!</v>
      </c>
      <c r="G65" s="725" t="e">
        <v>#REF!</v>
      </c>
      <c r="H65" s="725" t="e">
        <v>#REF!</v>
      </c>
      <c r="I65" s="725" t="e">
        <v>#REF!</v>
      </c>
      <c r="J65" s="725" t="e">
        <v>#REF!</v>
      </c>
      <c r="K65" s="725" t="e">
        <v>#REF!</v>
      </c>
      <c r="L65" s="725" t="e">
        <v>#REF!</v>
      </c>
      <c r="M65" s="725" t="e">
        <v>#REF!</v>
      </c>
      <c r="N65" s="725" t="e">
        <v>#REF!</v>
      </c>
      <c r="O65" s="725" t="e">
        <v>#REF!</v>
      </c>
      <c r="P65" s="725" t="e">
        <v>#REF!</v>
      </c>
      <c r="Q65" s="725" t="e">
        <v>#REF!</v>
      </c>
      <c r="R65" s="725">
        <v>5643490</v>
      </c>
      <c r="S65" s="725">
        <v>6112392</v>
      </c>
      <c r="T65" s="725">
        <v>6197000</v>
      </c>
      <c r="U65" s="725">
        <v>6186000</v>
      </c>
      <c r="V65" s="725">
        <v>6089000</v>
      </c>
      <c r="W65" s="725">
        <v>5652000</v>
      </c>
      <c r="X65" s="725">
        <v>5455000</v>
      </c>
      <c r="Y65" s="725">
        <v>5311000</v>
      </c>
      <c r="Z65" s="725">
        <v>4954000</v>
      </c>
      <c r="AA65" s="725">
        <v>4896000</v>
      </c>
      <c r="AB65" s="725">
        <v>5028000</v>
      </c>
    </row>
    <row r="66" spans="1:29" ht="13.5" thickTop="1">
      <c r="A66" s="1126"/>
      <c r="B66" s="613"/>
      <c r="C66" s="613"/>
      <c r="D66" s="1276" t="s">
        <v>1208</v>
      </c>
      <c r="E66" s="1258" t="s">
        <v>93</v>
      </c>
      <c r="F66" s="724" t="e">
        <v>#REF!</v>
      </c>
      <c r="G66" s="724" t="e">
        <v>#REF!</v>
      </c>
      <c r="H66" s="724" t="e">
        <v>#REF!</v>
      </c>
      <c r="I66" s="724" t="e">
        <v>#REF!</v>
      </c>
      <c r="J66" s="724" t="e">
        <v>#REF!</v>
      </c>
      <c r="K66" s="724" t="e">
        <v>#REF!</v>
      </c>
      <c r="L66" s="724" t="e">
        <v>#REF!</v>
      </c>
      <c r="M66" s="724" t="e">
        <v>#REF!</v>
      </c>
      <c r="N66" s="724" t="e">
        <v>#REF!</v>
      </c>
      <c r="O66" s="724" t="e">
        <v>#REF!</v>
      </c>
      <c r="P66" s="724" t="e">
        <v>#REF!</v>
      </c>
      <c r="Q66" s="724" t="e">
        <v>#REF!</v>
      </c>
      <c r="R66" s="1133"/>
      <c r="S66" s="1133"/>
      <c r="T66" s="1133">
        <v>0</v>
      </c>
      <c r="U66" s="707">
        <v>0</v>
      </c>
      <c r="V66" s="707">
        <v>0</v>
      </c>
      <c r="W66" s="707">
        <v>0</v>
      </c>
      <c r="X66" s="707">
        <v>0</v>
      </c>
      <c r="Y66" s="707">
        <v>0</v>
      </c>
      <c r="Z66" s="707">
        <v>0</v>
      </c>
      <c r="AA66" s="707">
        <v>0</v>
      </c>
      <c r="AB66" s="707">
        <v>0</v>
      </c>
      <c r="AC66" s="1110"/>
    </row>
    <row r="67" spans="1:29" ht="18">
      <c r="A67" s="1259" t="s">
        <v>0</v>
      </c>
      <c r="B67" s="1219"/>
      <c r="C67" s="1219"/>
      <c r="D67" s="1221"/>
      <c r="E67" s="1574"/>
      <c r="F67" s="1575"/>
      <c r="G67" s="1575"/>
      <c r="H67" s="1575"/>
      <c r="I67" s="25"/>
      <c r="J67" s="25"/>
      <c r="K67" s="78"/>
      <c r="L67" s="78"/>
      <c r="M67" s="1222"/>
      <c r="N67" s="1222"/>
      <c r="O67" s="718"/>
      <c r="P67" s="991"/>
      <c r="Q67" s="946"/>
      <c r="R67" s="1576"/>
      <c r="S67" s="1576"/>
      <c r="T67" s="1223"/>
      <c r="U67" s="1223"/>
      <c r="V67" s="1224"/>
      <c r="W67" s="1552" t="s">
        <v>18</v>
      </c>
      <c r="X67" s="1553"/>
      <c r="Y67" s="1553"/>
      <c r="Z67" s="1553"/>
      <c r="AA67" s="1554"/>
      <c r="AB67" s="1083">
        <v>5.1999999999999993</v>
      </c>
      <c r="AC67" s="1110"/>
    </row>
    <row r="68" spans="1:29" ht="15.75">
      <c r="A68" s="630" t="s">
        <v>8</v>
      </c>
      <c r="B68" s="747"/>
      <c r="C68" s="748"/>
      <c r="D68" s="749"/>
      <c r="E68" s="34"/>
      <c r="F68" s="34">
        <v>0</v>
      </c>
      <c r="G68" s="34">
        <v>1</v>
      </c>
      <c r="H68" s="34">
        <v>2</v>
      </c>
      <c r="I68" s="34">
        <v>3</v>
      </c>
      <c r="J68" s="34">
        <v>4</v>
      </c>
      <c r="K68" s="34">
        <v>5</v>
      </c>
      <c r="L68" s="34">
        <v>6</v>
      </c>
      <c r="M68" s="34">
        <v>7</v>
      </c>
      <c r="N68" s="34">
        <v>8</v>
      </c>
      <c r="O68" s="34">
        <v>9</v>
      </c>
      <c r="P68" s="34">
        <v>10</v>
      </c>
      <c r="Q68" s="34">
        <v>11</v>
      </c>
      <c r="R68" s="34">
        <v>0</v>
      </c>
      <c r="S68" s="34">
        <v>1</v>
      </c>
      <c r="T68" s="34">
        <v>2</v>
      </c>
      <c r="U68" s="34">
        <v>3</v>
      </c>
      <c r="V68" s="34">
        <v>4</v>
      </c>
      <c r="W68" s="34">
        <v>5</v>
      </c>
      <c r="X68" s="34">
        <v>6</v>
      </c>
      <c r="Y68" s="34">
        <v>7</v>
      </c>
      <c r="Z68" s="34">
        <v>8</v>
      </c>
      <c r="AA68" s="34">
        <v>9</v>
      </c>
      <c r="AB68" s="34">
        <v>10</v>
      </c>
      <c r="AC68" s="1110"/>
    </row>
    <row r="69" spans="1:29">
      <c r="A69" s="34" t="s">
        <v>42</v>
      </c>
      <c r="D69" s="1276" t="s">
        <v>43</v>
      </c>
      <c r="E69" s="1276" t="s">
        <v>44</v>
      </c>
      <c r="F69" s="980">
        <v>1999</v>
      </c>
      <c r="G69" s="980">
        <v>2000</v>
      </c>
      <c r="H69" s="980">
        <v>2001</v>
      </c>
      <c r="I69" s="980">
        <v>2002</v>
      </c>
      <c r="J69" s="980">
        <v>2003</v>
      </c>
      <c r="K69" s="980">
        <v>2004</v>
      </c>
      <c r="L69" s="980">
        <v>2005</v>
      </c>
      <c r="M69" s="980">
        <v>2006</v>
      </c>
      <c r="N69" s="980">
        <v>2007</v>
      </c>
      <c r="O69" s="980">
        <v>2008</v>
      </c>
      <c r="P69" s="980">
        <v>2009</v>
      </c>
      <c r="Q69" s="980">
        <v>2010</v>
      </c>
      <c r="R69" s="980">
        <v>2011</v>
      </c>
      <c r="S69" s="980">
        <v>2012</v>
      </c>
      <c r="T69" s="980">
        <v>2013</v>
      </c>
      <c r="U69" s="980">
        <v>2014</v>
      </c>
      <c r="V69" s="980">
        <v>2015</v>
      </c>
      <c r="W69" s="980">
        <v>2016</v>
      </c>
      <c r="X69" s="980">
        <v>2017</v>
      </c>
      <c r="Y69" s="980">
        <v>2018</v>
      </c>
      <c r="Z69" s="980">
        <v>2019</v>
      </c>
      <c r="AA69" s="980">
        <v>2020</v>
      </c>
      <c r="AB69" s="980">
        <v>2021</v>
      </c>
      <c r="AC69" s="1110"/>
    </row>
    <row r="70" spans="1:29">
      <c r="A70" s="1577" t="s">
        <v>18</v>
      </c>
      <c r="B70" s="1577"/>
      <c r="C70" s="1577"/>
      <c r="D70" s="1577"/>
      <c r="E70" s="616"/>
      <c r="F70" s="700" t="s">
        <v>46</v>
      </c>
      <c r="G70" s="700"/>
      <c r="H70" s="700"/>
      <c r="I70" s="700"/>
      <c r="J70" s="700"/>
      <c r="K70" s="700"/>
      <c r="L70" s="699"/>
      <c r="M70" s="700"/>
      <c r="N70" s="700"/>
      <c r="O70" s="700"/>
      <c r="P70" s="700"/>
      <c r="Q70" s="700"/>
      <c r="R70" s="631"/>
      <c r="S70" s="631"/>
      <c r="T70" s="631"/>
      <c r="U70" s="631"/>
      <c r="V70" s="631"/>
      <c r="W70" s="631"/>
      <c r="X70" s="631" t="s">
        <v>108</v>
      </c>
      <c r="Y70" s="631"/>
      <c r="Z70" s="631"/>
      <c r="AA70" s="616"/>
      <c r="AB70" s="616"/>
      <c r="AC70" s="1110"/>
    </row>
    <row r="71" spans="1:29">
      <c r="A71" s="34"/>
      <c r="B71" s="34" t="s">
        <v>133</v>
      </c>
      <c r="C71" s="34"/>
      <c r="D71" s="34"/>
      <c r="E71" s="34"/>
      <c r="F71" s="616">
        <v>93759</v>
      </c>
      <c r="G71" s="616">
        <v>33562</v>
      </c>
      <c r="H71" s="616">
        <v>52829</v>
      </c>
      <c r="I71" s="616">
        <v>9962</v>
      </c>
      <c r="J71" s="616">
        <v>55337</v>
      </c>
      <c r="K71" s="616">
        <v>104262</v>
      </c>
      <c r="L71" s="616">
        <v>40827</v>
      </c>
      <c r="M71" s="616">
        <v>251824</v>
      </c>
      <c r="N71" s="616">
        <v>44755</v>
      </c>
      <c r="O71" s="616">
        <v>71742</v>
      </c>
      <c r="P71" s="616">
        <v>47877</v>
      </c>
      <c r="Q71" s="616">
        <v>54394</v>
      </c>
      <c r="R71" s="616">
        <v>47267</v>
      </c>
      <c r="S71" s="616">
        <v>5892</v>
      </c>
      <c r="T71" s="616">
        <v>77000</v>
      </c>
      <c r="U71" s="616">
        <v>6000</v>
      </c>
      <c r="V71" s="616">
        <v>0</v>
      </c>
      <c r="W71" s="616">
        <v>2000</v>
      </c>
      <c r="X71" s="616">
        <v>0</v>
      </c>
      <c r="Y71" s="616">
        <v>0</v>
      </c>
      <c r="Z71" s="616">
        <v>30000</v>
      </c>
      <c r="AA71" s="616">
        <v>0</v>
      </c>
      <c r="AB71" s="616">
        <v>41000</v>
      </c>
      <c r="AC71" s="1110"/>
    </row>
    <row r="72" spans="1:29">
      <c r="A72" s="34"/>
      <c r="B72" s="34" t="s">
        <v>134</v>
      </c>
      <c r="C72" s="34"/>
      <c r="D72" s="34"/>
      <c r="E72" s="34"/>
      <c r="F72" s="616"/>
      <c r="G72" s="616"/>
      <c r="H72" s="616"/>
      <c r="I72" s="616"/>
      <c r="J72" s="616"/>
      <c r="K72" s="616"/>
      <c r="L72" s="616"/>
      <c r="M72" s="616"/>
      <c r="N72" s="616"/>
      <c r="O72" s="616"/>
      <c r="P72" s="616"/>
      <c r="Q72" s="616"/>
      <c r="R72" s="702"/>
      <c r="S72" s="702"/>
      <c r="T72" s="702">
        <v>3000</v>
      </c>
      <c r="U72" s="702">
        <v>6000</v>
      </c>
      <c r="V72" s="702">
        <v>4000</v>
      </c>
      <c r="W72" s="702">
        <v>3000</v>
      </c>
      <c r="X72" s="702">
        <v>6000</v>
      </c>
      <c r="Y72" s="702">
        <v>3000</v>
      </c>
      <c r="Z72" s="702">
        <v>17000</v>
      </c>
      <c r="AA72" s="702">
        <v>44000</v>
      </c>
      <c r="AB72" s="702">
        <v>109000</v>
      </c>
      <c r="AC72" s="1110"/>
    </row>
    <row r="73" spans="1:29">
      <c r="A73" s="34"/>
      <c r="B73" s="34"/>
      <c r="C73" s="34"/>
      <c r="D73" s="34"/>
      <c r="E73" s="34"/>
      <c r="F73" s="616"/>
      <c r="G73" s="616"/>
      <c r="H73" s="616"/>
      <c r="I73" s="616"/>
      <c r="J73" s="616"/>
      <c r="K73" s="616"/>
      <c r="L73" s="616"/>
      <c r="M73" s="616"/>
      <c r="N73" s="616"/>
      <c r="O73" s="616"/>
      <c r="P73" s="616"/>
      <c r="Q73" s="616"/>
      <c r="R73" s="616">
        <v>47267</v>
      </c>
      <c r="S73" s="616">
        <v>5892</v>
      </c>
      <c r="T73" s="616">
        <v>80000</v>
      </c>
      <c r="U73" s="616">
        <v>12000</v>
      </c>
      <c r="V73" s="616">
        <v>4000</v>
      </c>
      <c r="W73" s="616">
        <v>5000</v>
      </c>
      <c r="X73" s="616">
        <v>6000</v>
      </c>
      <c r="Y73" s="616">
        <v>3000</v>
      </c>
      <c r="Z73" s="616">
        <v>47000</v>
      </c>
      <c r="AA73" s="616">
        <v>44000</v>
      </c>
      <c r="AB73" s="616">
        <v>150000</v>
      </c>
      <c r="AC73" s="1110"/>
    </row>
    <row r="74" spans="1:29">
      <c r="A74" s="34"/>
      <c r="B74" s="34"/>
      <c r="C74" s="34"/>
      <c r="D74" s="34"/>
      <c r="E74" s="34"/>
      <c r="F74" s="616"/>
      <c r="G74" s="616"/>
      <c r="H74" s="616"/>
      <c r="I74" s="616"/>
      <c r="J74" s="616"/>
      <c r="K74" s="616"/>
      <c r="L74" s="616"/>
      <c r="M74" s="616"/>
      <c r="N74" s="616"/>
      <c r="O74" s="616"/>
      <c r="P74" s="616"/>
      <c r="Q74" s="616"/>
      <c r="R74" s="616"/>
      <c r="S74" s="616"/>
      <c r="T74" s="616"/>
      <c r="U74" s="616"/>
      <c r="V74" s="616"/>
      <c r="W74" s="616"/>
      <c r="X74" s="616"/>
      <c r="Y74" s="616"/>
      <c r="Z74" s="616"/>
      <c r="AA74" s="616"/>
      <c r="AB74" s="616"/>
      <c r="AC74" s="1110"/>
    </row>
    <row r="75" spans="1:29" ht="13.5">
      <c r="A75" s="34"/>
      <c r="B75" s="34" t="s">
        <v>135</v>
      </c>
      <c r="C75" s="754"/>
      <c r="D75" s="754"/>
      <c r="E75" s="34"/>
      <c r="F75" s="616">
        <v>83327</v>
      </c>
      <c r="G75" s="616">
        <v>93160</v>
      </c>
      <c r="H75" s="616">
        <v>182088</v>
      </c>
      <c r="I75" s="616">
        <v>138707</v>
      </c>
      <c r="J75" s="616">
        <v>188812</v>
      </c>
      <c r="K75" s="616">
        <v>180706</v>
      </c>
      <c r="L75" s="616">
        <v>257346</v>
      </c>
      <c r="M75" s="616">
        <v>222439</v>
      </c>
      <c r="N75" s="616">
        <v>219208</v>
      </c>
      <c r="O75" s="616">
        <v>468752</v>
      </c>
      <c r="P75" s="616">
        <v>188933</v>
      </c>
      <c r="Q75" s="616">
        <v>198663</v>
      </c>
      <c r="R75" s="616">
        <v>246530</v>
      </c>
      <c r="S75" s="616">
        <v>335548</v>
      </c>
      <c r="T75" s="616">
        <v>165000</v>
      </c>
      <c r="U75" s="616">
        <v>168000</v>
      </c>
      <c r="V75" s="616">
        <v>110000</v>
      </c>
      <c r="W75" s="616">
        <v>91000</v>
      </c>
      <c r="X75" s="616">
        <v>78000</v>
      </c>
      <c r="Y75" s="616">
        <v>65000</v>
      </c>
      <c r="Z75" s="616">
        <v>85000</v>
      </c>
      <c r="AA75" s="616">
        <v>102000</v>
      </c>
      <c r="AB75" s="616">
        <v>168000</v>
      </c>
      <c r="AC75" s="1110"/>
    </row>
    <row r="76" spans="1:29" ht="13.5">
      <c r="A76" s="34"/>
      <c r="B76" s="34" t="s">
        <v>136</v>
      </c>
      <c r="C76" s="754"/>
      <c r="D76" s="754"/>
      <c r="E76" s="34"/>
      <c r="F76" s="616"/>
      <c r="G76" s="616"/>
      <c r="H76" s="616"/>
      <c r="I76" s="616"/>
      <c r="J76" s="616"/>
      <c r="K76" s="616"/>
      <c r="L76" s="616"/>
      <c r="M76" s="616"/>
      <c r="N76" s="616"/>
      <c r="O76" s="616"/>
      <c r="P76" s="616"/>
      <c r="Q76" s="616"/>
      <c r="R76" s="616"/>
      <c r="S76" s="616"/>
      <c r="T76" s="616">
        <v>113000</v>
      </c>
      <c r="U76" s="616">
        <v>131000</v>
      </c>
      <c r="V76" s="616">
        <v>115000</v>
      </c>
      <c r="W76" s="616">
        <v>101000</v>
      </c>
      <c r="X76" s="616">
        <v>100000</v>
      </c>
      <c r="Y76" s="616">
        <v>96000</v>
      </c>
      <c r="Z76" s="616">
        <v>93000</v>
      </c>
      <c r="AA76" s="616">
        <v>75000</v>
      </c>
      <c r="AB76" s="616">
        <v>76000</v>
      </c>
      <c r="AC76" s="1110"/>
    </row>
    <row r="77" spans="1:29" ht="13.5">
      <c r="A77" s="34"/>
      <c r="B77" s="34" t="s">
        <v>1181</v>
      </c>
      <c r="C77" s="754"/>
      <c r="D77" s="754"/>
      <c r="E77" s="34"/>
      <c r="F77" s="702">
        <v>-543</v>
      </c>
      <c r="G77" s="702">
        <v>-1376</v>
      </c>
      <c r="H77" s="702">
        <v>-2023</v>
      </c>
      <c r="I77" s="702">
        <v>-1874</v>
      </c>
      <c r="J77" s="702">
        <v>-1906</v>
      </c>
      <c r="K77" s="702">
        <v>-2243</v>
      </c>
      <c r="L77" s="702">
        <v>-3333</v>
      </c>
      <c r="M77" s="702">
        <v>-3730</v>
      </c>
      <c r="N77" s="702">
        <v>-3057</v>
      </c>
      <c r="O77" s="702">
        <v>-2839</v>
      </c>
      <c r="P77" s="702">
        <v>-3239</v>
      </c>
      <c r="Q77" s="702">
        <v>-3024</v>
      </c>
      <c r="R77" s="702">
        <v>-6307</v>
      </c>
      <c r="S77" s="702">
        <v>-5931</v>
      </c>
      <c r="T77" s="702">
        <v>-7000</v>
      </c>
      <c r="U77" s="702">
        <v>-12000</v>
      </c>
      <c r="V77" s="702">
        <v>-10000</v>
      </c>
      <c r="W77" s="702">
        <v>-5000</v>
      </c>
      <c r="X77" s="702">
        <v>-3000</v>
      </c>
      <c r="Y77" s="702">
        <v>-2000</v>
      </c>
      <c r="Z77" s="702">
        <v>-2000</v>
      </c>
      <c r="AA77" s="702">
        <v>-3000</v>
      </c>
      <c r="AB77" s="702">
        <v>-2000</v>
      </c>
      <c r="AC77" s="1110"/>
    </row>
    <row r="78" spans="1:29" ht="13.5">
      <c r="A78" s="34"/>
      <c r="B78" s="34" t="s">
        <v>138</v>
      </c>
      <c r="C78" s="754"/>
      <c r="D78" s="754"/>
      <c r="E78" s="34"/>
      <c r="F78" s="616">
        <v>82784</v>
      </c>
      <c r="G78" s="616">
        <v>91784</v>
      </c>
      <c r="H78" s="616">
        <v>180065</v>
      </c>
      <c r="I78" s="616">
        <v>136833</v>
      </c>
      <c r="J78" s="616">
        <v>186906</v>
      </c>
      <c r="K78" s="616">
        <v>178463</v>
      </c>
      <c r="L78" s="616">
        <v>254013</v>
      </c>
      <c r="M78" s="616">
        <v>218709</v>
      </c>
      <c r="N78" s="616">
        <v>216151</v>
      </c>
      <c r="O78" s="616">
        <v>465913</v>
      </c>
      <c r="P78" s="616">
        <v>185694</v>
      </c>
      <c r="Q78" s="616">
        <v>195639</v>
      </c>
      <c r="R78" s="616">
        <v>240223</v>
      </c>
      <c r="S78" s="616">
        <v>329617</v>
      </c>
      <c r="T78" s="616">
        <v>271000</v>
      </c>
      <c r="U78" s="616">
        <v>287000</v>
      </c>
      <c r="V78" s="616">
        <v>215000</v>
      </c>
      <c r="W78" s="616">
        <v>187000</v>
      </c>
      <c r="X78" s="616">
        <v>175000</v>
      </c>
      <c r="Y78" s="616">
        <v>159000</v>
      </c>
      <c r="Z78" s="616">
        <v>176000</v>
      </c>
      <c r="AA78" s="728">
        <v>174000</v>
      </c>
      <c r="AB78" s="616">
        <v>242000</v>
      </c>
      <c r="AC78" s="1110"/>
    </row>
    <row r="79" spans="1:29" ht="13.5">
      <c r="A79" s="34"/>
      <c r="B79" s="34"/>
      <c r="C79" s="754"/>
      <c r="D79" s="754"/>
      <c r="E79" s="34"/>
      <c r="F79" s="616"/>
      <c r="G79" s="616"/>
      <c r="H79" s="616"/>
      <c r="I79" s="616"/>
      <c r="J79" s="616"/>
      <c r="K79" s="616"/>
      <c r="L79" s="616"/>
      <c r="M79" s="616"/>
      <c r="N79" s="616"/>
      <c r="O79" s="616"/>
      <c r="P79" s="616"/>
      <c r="Q79" s="616"/>
      <c r="R79" s="616"/>
      <c r="S79" s="616"/>
      <c r="T79" s="616"/>
      <c r="U79" s="616"/>
      <c r="V79" s="616"/>
      <c r="W79" s="616"/>
      <c r="X79" s="616"/>
      <c r="Y79" s="616"/>
      <c r="Z79" s="616"/>
      <c r="AA79" s="728"/>
      <c r="AB79" s="616"/>
      <c r="AC79" s="1110"/>
    </row>
    <row r="80" spans="1:29" ht="13.5">
      <c r="A80" s="34"/>
      <c r="B80" s="34" t="s">
        <v>139</v>
      </c>
      <c r="C80" s="754"/>
      <c r="D80" s="754"/>
      <c r="E80" s="34"/>
      <c r="F80" s="616">
        <v>0</v>
      </c>
      <c r="G80" s="616">
        <v>3236</v>
      </c>
      <c r="H80" s="616">
        <v>2591</v>
      </c>
      <c r="I80" s="616">
        <v>16832</v>
      </c>
      <c r="J80" s="616">
        <v>22822</v>
      </c>
      <c r="K80" s="616">
        <v>34439</v>
      </c>
      <c r="L80" s="616">
        <v>35722</v>
      </c>
      <c r="M80" s="616">
        <v>7425</v>
      </c>
      <c r="N80" s="616">
        <v>5551</v>
      </c>
      <c r="O80" s="616">
        <v>5221</v>
      </c>
      <c r="P80" s="616">
        <v>2462</v>
      </c>
      <c r="Q80" s="616">
        <v>3475</v>
      </c>
      <c r="R80" s="616">
        <v>2985</v>
      </c>
      <c r="S80" s="616">
        <v>11827</v>
      </c>
      <c r="T80" s="755">
        <v>3000</v>
      </c>
      <c r="U80" s="755">
        <v>3000</v>
      </c>
      <c r="V80" s="755">
        <v>2000</v>
      </c>
      <c r="W80" s="755">
        <v>2000</v>
      </c>
      <c r="X80" s="755">
        <v>3000</v>
      </c>
      <c r="Y80" s="755">
        <v>3000</v>
      </c>
      <c r="Z80" s="616">
        <v>4000</v>
      </c>
      <c r="AA80" s="616">
        <v>4000</v>
      </c>
      <c r="AB80" s="616">
        <v>4000</v>
      </c>
      <c r="AC80" s="1110"/>
    </row>
    <row r="81" spans="1:30" ht="13.5">
      <c r="A81" s="34"/>
      <c r="B81" s="34" t="s">
        <v>140</v>
      </c>
      <c r="C81" s="754"/>
      <c r="D81" s="754"/>
      <c r="E81" s="34"/>
      <c r="F81" s="616"/>
      <c r="G81" s="616"/>
      <c r="H81" s="616"/>
      <c r="I81" s="616"/>
      <c r="J81" s="616"/>
      <c r="K81" s="616"/>
      <c r="L81" s="616"/>
      <c r="M81" s="616"/>
      <c r="N81" s="616"/>
      <c r="O81" s="616"/>
      <c r="P81" s="616"/>
      <c r="Q81" s="616"/>
      <c r="R81" s="616">
        <v>0</v>
      </c>
      <c r="S81" s="616">
        <v>9900</v>
      </c>
      <c r="T81" s="755">
        <v>69000</v>
      </c>
      <c r="U81" s="755">
        <v>2000</v>
      </c>
      <c r="V81" s="755">
        <v>0</v>
      </c>
      <c r="W81" s="755"/>
      <c r="X81" s="755">
        <v>12000</v>
      </c>
      <c r="Y81" s="755">
        <v>13000</v>
      </c>
      <c r="Z81" s="616">
        <v>16000</v>
      </c>
      <c r="AA81" s="616">
        <v>13000</v>
      </c>
      <c r="AB81" s="616">
        <v>9000</v>
      </c>
      <c r="AC81" s="1110"/>
    </row>
    <row r="82" spans="1:30">
      <c r="A82" s="34"/>
      <c r="B82" s="34" t="s">
        <v>141</v>
      </c>
      <c r="C82" s="34"/>
      <c r="D82" s="34"/>
      <c r="E82" s="34"/>
      <c r="F82" s="616">
        <v>2720</v>
      </c>
      <c r="G82" s="616">
        <v>2509</v>
      </c>
      <c r="H82" s="616">
        <v>2744</v>
      </c>
      <c r="I82" s="616">
        <v>2908</v>
      </c>
      <c r="J82" s="616">
        <v>2884</v>
      </c>
      <c r="K82" s="616">
        <v>3140</v>
      </c>
      <c r="L82" s="616">
        <v>3378</v>
      </c>
      <c r="M82" s="616">
        <v>3106</v>
      </c>
      <c r="N82" s="616">
        <v>12241</v>
      </c>
      <c r="O82" s="616">
        <v>9439</v>
      </c>
      <c r="P82" s="616">
        <v>8407</v>
      </c>
      <c r="Q82" s="616">
        <v>7473</v>
      </c>
      <c r="R82" s="616">
        <v>111512</v>
      </c>
      <c r="S82" s="616">
        <v>131114</v>
      </c>
      <c r="T82" s="616">
        <v>137000</v>
      </c>
      <c r="U82" s="616">
        <v>168000</v>
      </c>
      <c r="V82" s="616">
        <v>163000</v>
      </c>
      <c r="W82" s="616">
        <v>104000</v>
      </c>
      <c r="X82" s="616">
        <v>70000</v>
      </c>
      <c r="Y82" s="616">
        <v>58000</v>
      </c>
      <c r="Z82" s="616">
        <v>42000</v>
      </c>
      <c r="AA82" s="616">
        <v>56000</v>
      </c>
      <c r="AB82" s="616">
        <v>69000</v>
      </c>
      <c r="AC82" s="1110"/>
    </row>
    <row r="83" spans="1:30">
      <c r="A83" s="34"/>
      <c r="B83" s="34" t="s">
        <v>1186</v>
      </c>
      <c r="C83" s="34"/>
      <c r="D83" s="34"/>
      <c r="E83" s="34"/>
      <c r="F83" s="702">
        <v>0</v>
      </c>
      <c r="G83" s="702">
        <v>0</v>
      </c>
      <c r="H83" s="702">
        <v>0</v>
      </c>
      <c r="I83" s="702">
        <v>0</v>
      </c>
      <c r="J83" s="702">
        <v>0</v>
      </c>
      <c r="K83" s="702">
        <v>0</v>
      </c>
      <c r="L83" s="702">
        <v>0</v>
      </c>
      <c r="M83" s="702">
        <v>0</v>
      </c>
      <c r="N83" s="702">
        <v>-1276</v>
      </c>
      <c r="O83" s="702">
        <v>-1188</v>
      </c>
      <c r="P83" s="702">
        <v>-1108</v>
      </c>
      <c r="Q83" s="702">
        <v>-1444</v>
      </c>
      <c r="R83" s="702">
        <v>9865</v>
      </c>
      <c r="S83" s="702">
        <v>17015</v>
      </c>
      <c r="T83" s="702"/>
      <c r="U83" s="702"/>
      <c r="V83" s="702"/>
      <c r="W83" s="702">
        <v>12000</v>
      </c>
      <c r="X83" s="702">
        <v>7000</v>
      </c>
      <c r="Y83" s="702"/>
      <c r="Z83" s="702"/>
      <c r="AA83" s="702"/>
      <c r="AB83" s="702"/>
      <c r="AC83" s="1110"/>
    </row>
    <row r="84" spans="1:30">
      <c r="A84" s="34"/>
      <c r="B84" s="34"/>
      <c r="C84" s="34"/>
      <c r="D84" s="45"/>
      <c r="E84" s="34"/>
      <c r="F84" s="616">
        <v>2720</v>
      </c>
      <c r="G84" s="616">
        <v>2509</v>
      </c>
      <c r="H84" s="616">
        <v>2744</v>
      </c>
      <c r="I84" s="616">
        <v>2908</v>
      </c>
      <c r="J84" s="616">
        <v>2884</v>
      </c>
      <c r="K84" s="616">
        <v>3140</v>
      </c>
      <c r="L84" s="616">
        <v>3378</v>
      </c>
      <c r="M84" s="616">
        <v>3106</v>
      </c>
      <c r="N84" s="616">
        <v>10965</v>
      </c>
      <c r="O84" s="616">
        <v>8251</v>
      </c>
      <c r="P84" s="616">
        <v>7299</v>
      </c>
      <c r="Q84" s="616">
        <v>6029</v>
      </c>
      <c r="R84" s="616">
        <v>124362</v>
      </c>
      <c r="S84" s="616">
        <v>169856</v>
      </c>
      <c r="T84" s="616">
        <v>209000</v>
      </c>
      <c r="U84" s="616">
        <v>173000</v>
      </c>
      <c r="V84" s="616">
        <v>165000</v>
      </c>
      <c r="W84" s="616">
        <v>118000</v>
      </c>
      <c r="X84" s="616">
        <v>92000</v>
      </c>
      <c r="Y84" s="616">
        <v>74000</v>
      </c>
      <c r="Z84" s="616">
        <v>62000</v>
      </c>
      <c r="AA84" s="616">
        <v>73000</v>
      </c>
      <c r="AB84" s="616">
        <v>82000</v>
      </c>
      <c r="AC84" s="1110"/>
    </row>
    <row r="85" spans="1:30">
      <c r="A85" s="34"/>
      <c r="B85" s="34"/>
      <c r="C85" s="34"/>
      <c r="D85" s="45"/>
      <c r="E85" s="34"/>
      <c r="F85" s="616"/>
      <c r="G85" s="616"/>
      <c r="H85" s="616"/>
      <c r="I85" s="616"/>
      <c r="J85" s="616"/>
      <c r="K85" s="616"/>
      <c r="L85" s="616"/>
      <c r="M85" s="616"/>
      <c r="N85" s="616"/>
      <c r="O85" s="616"/>
      <c r="P85" s="616"/>
      <c r="Q85" s="616"/>
      <c r="R85" s="702"/>
      <c r="S85" s="702"/>
      <c r="T85" s="702"/>
      <c r="U85" s="702"/>
      <c r="V85" s="702"/>
      <c r="W85" s="702"/>
      <c r="X85" s="702"/>
      <c r="Y85" s="702"/>
      <c r="Z85" s="702"/>
      <c r="AA85" s="702"/>
      <c r="AB85" s="702"/>
      <c r="AC85" s="1110"/>
    </row>
    <row r="86" spans="1:30">
      <c r="A86" s="34"/>
      <c r="B86" s="34" t="s">
        <v>1465</v>
      </c>
      <c r="C86" s="34"/>
      <c r="D86" s="34"/>
      <c r="E86" s="34"/>
      <c r="F86" s="616">
        <v>179263</v>
      </c>
      <c r="G86" s="616">
        <v>131091</v>
      </c>
      <c r="H86" s="616">
        <v>238229</v>
      </c>
      <c r="I86" s="616">
        <v>166535</v>
      </c>
      <c r="J86" s="616">
        <v>267949</v>
      </c>
      <c r="K86" s="616">
        <v>320304</v>
      </c>
      <c r="L86" s="616">
        <v>333940</v>
      </c>
      <c r="M86" s="616">
        <v>481064</v>
      </c>
      <c r="N86" s="616">
        <v>277422</v>
      </c>
      <c r="O86" s="616">
        <v>551127</v>
      </c>
      <c r="P86" s="616">
        <v>243332</v>
      </c>
      <c r="Q86" s="616">
        <v>259537</v>
      </c>
      <c r="R86" s="616">
        <v>414837</v>
      </c>
      <c r="S86" s="616">
        <v>527092</v>
      </c>
      <c r="T86" s="616">
        <v>632000</v>
      </c>
      <c r="U86" s="616">
        <v>477000</v>
      </c>
      <c r="V86" s="616">
        <v>386000</v>
      </c>
      <c r="W86" s="616">
        <v>312000</v>
      </c>
      <c r="X86" s="616">
        <v>288000</v>
      </c>
      <c r="Y86" s="616">
        <v>252000</v>
      </c>
      <c r="Z86" s="616">
        <v>305000</v>
      </c>
      <c r="AA86" s="616">
        <v>308000</v>
      </c>
      <c r="AB86" s="616">
        <v>487000</v>
      </c>
      <c r="AC86" s="1110"/>
    </row>
    <row r="87" spans="1:30">
      <c r="A87" s="34"/>
      <c r="B87" s="34"/>
      <c r="C87" s="34"/>
      <c r="D87" s="34"/>
      <c r="E87" s="34"/>
      <c r="F87" s="616"/>
      <c r="G87" s="616"/>
      <c r="H87" s="616"/>
      <c r="I87" s="616"/>
      <c r="J87" s="616"/>
      <c r="K87" s="616"/>
      <c r="L87" s="616"/>
      <c r="M87" s="616"/>
      <c r="N87" s="616"/>
      <c r="O87" s="616"/>
      <c r="P87" s="616"/>
      <c r="Q87" s="616"/>
      <c r="R87" s="616"/>
      <c r="S87" s="616"/>
      <c r="T87" s="616"/>
      <c r="U87" s="616"/>
      <c r="V87" s="616"/>
      <c r="W87" s="616"/>
      <c r="X87" s="616"/>
      <c r="Y87" s="616"/>
      <c r="Z87" s="616"/>
      <c r="AA87" s="616"/>
      <c r="AB87" s="616"/>
      <c r="AC87" s="1110"/>
    </row>
    <row r="88" spans="1:30">
      <c r="A88" s="34"/>
      <c r="B88" s="34" t="s">
        <v>143</v>
      </c>
      <c r="C88" s="34"/>
      <c r="D88" s="34"/>
      <c r="E88" s="34"/>
      <c r="F88" s="616">
        <v>0</v>
      </c>
      <c r="G88" s="616">
        <v>0</v>
      </c>
      <c r="H88" s="616">
        <v>0</v>
      </c>
      <c r="I88" s="616">
        <v>0</v>
      </c>
      <c r="J88" s="616">
        <v>0</v>
      </c>
      <c r="K88" s="616">
        <v>0</v>
      </c>
      <c r="L88" s="616">
        <v>0</v>
      </c>
      <c r="M88" s="616">
        <v>0</v>
      </c>
      <c r="N88" s="616">
        <v>0</v>
      </c>
      <c r="O88" s="616">
        <v>0</v>
      </c>
      <c r="P88" s="616">
        <v>0</v>
      </c>
      <c r="Q88" s="616">
        <v>4984</v>
      </c>
      <c r="R88" s="616">
        <v>7628</v>
      </c>
      <c r="S88" s="616">
        <v>7600</v>
      </c>
      <c r="T88" s="616">
        <v>11000</v>
      </c>
      <c r="U88" s="616">
        <v>11000</v>
      </c>
      <c r="V88" s="616">
        <v>30000</v>
      </c>
      <c r="W88" s="616">
        <v>17000</v>
      </c>
      <c r="X88" s="616">
        <v>11000</v>
      </c>
      <c r="Y88" s="616">
        <v>7000</v>
      </c>
      <c r="Z88" s="616">
        <v>0</v>
      </c>
      <c r="AA88" s="616">
        <v>0</v>
      </c>
      <c r="AB88" s="616">
        <v>0</v>
      </c>
      <c r="AC88" s="1110"/>
    </row>
    <row r="89" spans="1:30">
      <c r="A89" s="34"/>
      <c r="B89" s="34" t="s">
        <v>1196</v>
      </c>
      <c r="C89" s="34"/>
      <c r="D89" s="34"/>
      <c r="E89" s="34"/>
      <c r="F89" s="616"/>
      <c r="G89" s="616"/>
      <c r="H89" s="616"/>
      <c r="I89" s="616"/>
      <c r="J89" s="616"/>
      <c r="K89" s="616"/>
      <c r="L89" s="616"/>
      <c r="M89" s="616"/>
      <c r="N89" s="616"/>
      <c r="O89" s="616"/>
      <c r="P89" s="616"/>
      <c r="Q89" s="616"/>
      <c r="R89" s="616">
        <v>51512</v>
      </c>
      <c r="S89" s="616">
        <v>51512</v>
      </c>
      <c r="T89" s="616">
        <v>0</v>
      </c>
      <c r="U89" s="616">
        <v>0</v>
      </c>
      <c r="V89" s="616">
        <v>0</v>
      </c>
      <c r="W89" s="616">
        <v>0</v>
      </c>
      <c r="X89" s="616">
        <v>0</v>
      </c>
      <c r="Y89" s="616">
        <v>0</v>
      </c>
      <c r="Z89" s="616">
        <v>0</v>
      </c>
      <c r="AA89" s="616">
        <v>0</v>
      </c>
      <c r="AB89" s="616">
        <v>0</v>
      </c>
      <c r="AC89" s="1110"/>
    </row>
    <row r="90" spans="1:30">
      <c r="A90" s="34"/>
      <c r="B90" s="34" t="s">
        <v>1193</v>
      </c>
      <c r="C90" s="34"/>
      <c r="D90" s="34"/>
      <c r="E90" s="34"/>
      <c r="F90" s="616">
        <v>0</v>
      </c>
      <c r="G90" s="616">
        <v>0</v>
      </c>
      <c r="H90" s="616">
        <v>0</v>
      </c>
      <c r="I90" s="616">
        <v>0</v>
      </c>
      <c r="J90" s="616">
        <v>0</v>
      </c>
      <c r="K90" s="616">
        <v>0</v>
      </c>
      <c r="L90" s="616">
        <v>0</v>
      </c>
      <c r="M90" s="616">
        <v>0</v>
      </c>
      <c r="N90" s="616">
        <v>16567</v>
      </c>
      <c r="O90" s="616">
        <v>11780</v>
      </c>
      <c r="P90" s="616">
        <v>6993</v>
      </c>
      <c r="Q90" s="616">
        <v>6077</v>
      </c>
      <c r="R90" s="616">
        <v>2935</v>
      </c>
      <c r="S90" s="616">
        <v>10163</v>
      </c>
      <c r="T90" s="616">
        <v>6000</v>
      </c>
      <c r="U90" s="616">
        <v>2000</v>
      </c>
      <c r="V90" s="616">
        <v>2000</v>
      </c>
      <c r="W90" s="616">
        <v>1000</v>
      </c>
      <c r="X90" s="616">
        <v>0</v>
      </c>
      <c r="Y90" s="616">
        <v>299000</v>
      </c>
      <c r="Z90" s="616">
        <v>0</v>
      </c>
      <c r="AA90" s="616">
        <v>0</v>
      </c>
      <c r="AB90" s="616">
        <v>0</v>
      </c>
      <c r="AC90" s="1110"/>
    </row>
    <row r="91" spans="1:30">
      <c r="A91" s="34"/>
      <c r="B91" s="34" t="s">
        <v>154</v>
      </c>
      <c r="C91" s="34"/>
      <c r="D91" s="34"/>
      <c r="E91" s="34"/>
      <c r="F91" s="616">
        <v>0</v>
      </c>
      <c r="G91" s="616">
        <v>0</v>
      </c>
      <c r="H91" s="616">
        <v>0</v>
      </c>
      <c r="I91" s="616">
        <v>0</v>
      </c>
      <c r="J91" s="616">
        <v>0</v>
      </c>
      <c r="K91" s="616">
        <v>0</v>
      </c>
      <c r="L91" s="616">
        <v>0</v>
      </c>
      <c r="M91" s="616">
        <v>0</v>
      </c>
      <c r="N91" s="616">
        <v>0</v>
      </c>
      <c r="O91" s="616">
        <v>2811</v>
      </c>
      <c r="P91" s="616">
        <v>2211</v>
      </c>
      <c r="Q91" s="616">
        <v>294</v>
      </c>
      <c r="R91" s="616">
        <v>11603</v>
      </c>
      <c r="S91" s="616">
        <v>310</v>
      </c>
      <c r="T91" s="616"/>
      <c r="U91" s="616"/>
      <c r="V91" s="616"/>
      <c r="W91" s="616"/>
      <c r="X91" s="616"/>
      <c r="Y91" s="616"/>
      <c r="Z91" s="616">
        <v>11000</v>
      </c>
      <c r="AA91" s="616">
        <v>14000</v>
      </c>
      <c r="AB91" s="616">
        <v>10000</v>
      </c>
      <c r="AC91" s="1110"/>
    </row>
    <row r="92" spans="1:30">
      <c r="A92" s="34"/>
      <c r="B92" s="1120" t="s">
        <v>151</v>
      </c>
      <c r="C92" s="1111"/>
      <c r="D92" s="1111"/>
      <c r="E92" s="34"/>
      <c r="F92" s="616">
        <v>0</v>
      </c>
      <c r="G92" s="616" t="e">
        <v>#REF!</v>
      </c>
      <c r="H92" s="616" t="e">
        <v>#REF!</v>
      </c>
      <c r="I92" s="616" t="e">
        <v>#REF!</v>
      </c>
      <c r="J92" s="616" t="e">
        <v>#REF!</v>
      </c>
      <c r="K92" s="616" t="e">
        <v>#REF!</v>
      </c>
      <c r="L92" s="616" t="e">
        <v>#REF!</v>
      </c>
      <c r="M92" s="616">
        <v>0</v>
      </c>
      <c r="N92" s="616" t="e">
        <v>#REF!</v>
      </c>
      <c r="O92" s="616" t="e">
        <v>#REF!</v>
      </c>
      <c r="P92" s="616" t="e">
        <v>#REF!</v>
      </c>
      <c r="Q92" s="616" t="e">
        <v>#REF!</v>
      </c>
      <c r="R92" s="616">
        <v>2017</v>
      </c>
      <c r="S92" s="616">
        <v>3843</v>
      </c>
      <c r="T92" s="616">
        <v>10000</v>
      </c>
      <c r="U92" s="616">
        <v>12000</v>
      </c>
      <c r="V92" s="616">
        <v>84000</v>
      </c>
      <c r="W92" s="616">
        <v>110000</v>
      </c>
      <c r="X92" s="616">
        <v>46000</v>
      </c>
      <c r="Y92" s="616">
        <v>65000</v>
      </c>
      <c r="Z92" s="616">
        <v>93000</v>
      </c>
      <c r="AA92" s="616">
        <v>156000</v>
      </c>
      <c r="AB92" s="616">
        <v>126000</v>
      </c>
      <c r="AC92" s="1110"/>
      <c r="AD92" s="14"/>
    </row>
    <row r="93" spans="1:30">
      <c r="A93" s="34"/>
      <c r="B93" s="1111" t="s">
        <v>1158</v>
      </c>
      <c r="C93" s="1111"/>
      <c r="D93" s="1111"/>
      <c r="E93" s="34"/>
      <c r="F93" s="1025">
        <v>17079</v>
      </c>
      <c r="G93" s="1025">
        <v>24826</v>
      </c>
      <c r="H93" s="1025">
        <v>22846</v>
      </c>
      <c r="I93" s="1025">
        <v>52417</v>
      </c>
      <c r="J93" s="1025">
        <v>240509</v>
      </c>
      <c r="K93" s="1025">
        <v>217195</v>
      </c>
      <c r="L93" s="1025">
        <v>180746</v>
      </c>
      <c r="M93" s="1025">
        <v>26594</v>
      </c>
      <c r="N93" s="1025">
        <v>49592</v>
      </c>
      <c r="O93" s="1025">
        <v>42358</v>
      </c>
      <c r="P93" s="1025">
        <v>43633</v>
      </c>
      <c r="Q93" s="1025">
        <v>50053</v>
      </c>
      <c r="R93" s="616">
        <v>160383</v>
      </c>
      <c r="S93" s="1025">
        <v>188000</v>
      </c>
      <c r="T93" s="1025">
        <v>260000</v>
      </c>
      <c r="U93" s="1025">
        <v>327000</v>
      </c>
      <c r="V93" s="1025">
        <v>329000</v>
      </c>
      <c r="W93" s="1025">
        <v>333000</v>
      </c>
      <c r="X93" s="1025">
        <v>332000</v>
      </c>
      <c r="Y93" s="1025">
        <v>272000</v>
      </c>
      <c r="Z93" s="1025">
        <v>260000</v>
      </c>
      <c r="AA93" s="1025">
        <v>230000</v>
      </c>
      <c r="AB93" s="1025">
        <v>237000</v>
      </c>
      <c r="AC93" s="1110"/>
    </row>
    <row r="94" spans="1:30">
      <c r="A94" s="34"/>
      <c r="B94" s="1111" t="s">
        <v>226</v>
      </c>
      <c r="C94" s="1111"/>
      <c r="D94" s="1116"/>
      <c r="E94" s="34"/>
      <c r="F94" s="1025"/>
      <c r="G94" s="1025"/>
      <c r="H94" s="1025"/>
      <c r="I94" s="1025"/>
      <c r="J94" s="1025"/>
      <c r="K94" s="1025"/>
      <c r="L94" s="1025"/>
      <c r="M94" s="1025"/>
      <c r="N94" s="1025"/>
      <c r="O94" s="1025"/>
      <c r="P94" s="1025"/>
      <c r="Q94" s="1025"/>
      <c r="R94" s="702">
        <v>181941</v>
      </c>
      <c r="S94" s="702">
        <v>182000</v>
      </c>
      <c r="T94" s="702">
        <v>182000</v>
      </c>
      <c r="U94" s="702">
        <v>182000</v>
      </c>
      <c r="V94" s="702">
        <v>182000</v>
      </c>
      <c r="W94" s="702">
        <v>182000</v>
      </c>
      <c r="X94" s="702">
        <v>182000</v>
      </c>
      <c r="Y94" s="702">
        <v>179000</v>
      </c>
      <c r="Z94" s="702">
        <v>179000</v>
      </c>
      <c r="AA94" s="702">
        <v>179000</v>
      </c>
      <c r="AB94" s="702">
        <v>220000</v>
      </c>
      <c r="AC94" s="1110"/>
    </row>
    <row r="95" spans="1:30">
      <c r="A95" s="34"/>
      <c r="B95" s="1111"/>
      <c r="C95" s="1111"/>
      <c r="D95" s="1116"/>
      <c r="E95" s="34"/>
      <c r="F95" s="616"/>
      <c r="G95" s="616"/>
      <c r="H95" s="616"/>
      <c r="I95" s="616"/>
      <c r="J95" s="616"/>
      <c r="K95" s="616"/>
      <c r="L95" s="616"/>
      <c r="M95" s="616"/>
      <c r="N95" s="616"/>
      <c r="O95" s="616"/>
      <c r="P95" s="616"/>
      <c r="Q95" s="616"/>
      <c r="R95" s="616">
        <v>418019</v>
      </c>
      <c r="S95" s="616">
        <v>443428</v>
      </c>
      <c r="T95" s="616">
        <v>469000</v>
      </c>
      <c r="U95" s="616">
        <v>534000</v>
      </c>
      <c r="V95" s="616">
        <v>627000</v>
      </c>
      <c r="W95" s="616">
        <v>643000</v>
      </c>
      <c r="X95" s="616">
        <v>571000</v>
      </c>
      <c r="Y95" s="616">
        <v>822000</v>
      </c>
      <c r="Z95" s="616">
        <v>543000</v>
      </c>
      <c r="AA95" s="616">
        <v>579000</v>
      </c>
      <c r="AB95" s="616">
        <v>593000</v>
      </c>
      <c r="AC95" s="1110"/>
    </row>
    <row r="96" spans="1:30">
      <c r="A96" s="34"/>
      <c r="B96" s="1111"/>
      <c r="C96" s="1111"/>
      <c r="D96" s="1111"/>
      <c r="E96" s="34"/>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1110"/>
    </row>
    <row r="97" spans="1:29">
      <c r="A97" s="34"/>
      <c r="B97" s="1111" t="s">
        <v>130</v>
      </c>
      <c r="C97" s="1111"/>
      <c r="D97" s="1111"/>
      <c r="E97" s="34"/>
      <c r="F97" s="616" t="e">
        <v>#REF!</v>
      </c>
      <c r="G97" s="616" t="e">
        <v>#REF!</v>
      </c>
      <c r="H97" s="616" t="e">
        <v>#REF!</v>
      </c>
      <c r="I97" s="616" t="e">
        <v>#REF!</v>
      </c>
      <c r="J97" s="616" t="e">
        <v>#REF!</v>
      </c>
      <c r="K97" s="616" t="e">
        <v>#REF!</v>
      </c>
      <c r="L97" s="616" t="e">
        <v>#REF!</v>
      </c>
      <c r="M97" s="616" t="e">
        <v>#REF!</v>
      </c>
      <c r="N97" s="616" t="e">
        <v>#REF!</v>
      </c>
      <c r="O97" s="616" t="e">
        <v>#REF!</v>
      </c>
      <c r="P97" s="616" t="e">
        <v>#REF!</v>
      </c>
      <c r="Q97" s="616" t="e">
        <v>#REF!</v>
      </c>
      <c r="R97" s="616">
        <v>4939583</v>
      </c>
      <c r="S97" s="616">
        <v>5059544</v>
      </c>
      <c r="T97" s="616">
        <v>5300000</v>
      </c>
      <c r="U97" s="616">
        <v>5966000</v>
      </c>
      <c r="V97" s="616">
        <v>6076000</v>
      </c>
      <c r="W97" s="616">
        <v>5683000</v>
      </c>
      <c r="X97" s="616">
        <v>5708000</v>
      </c>
      <c r="Y97" s="616">
        <v>5593000</v>
      </c>
      <c r="Z97" s="616">
        <v>5627000</v>
      </c>
      <c r="AA97" s="616">
        <v>5658000</v>
      </c>
      <c r="AB97" s="616">
        <v>5718000</v>
      </c>
      <c r="AC97" s="1110"/>
    </row>
    <row r="98" spans="1:29">
      <c r="A98" s="34"/>
      <c r="B98" s="1111" t="s">
        <v>157</v>
      </c>
      <c r="C98" s="1111"/>
      <c r="D98" s="1111"/>
      <c r="E98" s="34"/>
      <c r="F98" s="702" t="e">
        <v>#REF!</v>
      </c>
      <c r="G98" s="702" t="e">
        <v>#REF!</v>
      </c>
      <c r="H98" s="702" t="e">
        <v>#REF!</v>
      </c>
      <c r="I98" s="702" t="e">
        <v>#REF!</v>
      </c>
      <c r="J98" s="702" t="e">
        <v>#REF!</v>
      </c>
      <c r="K98" s="702" t="e">
        <v>#REF!</v>
      </c>
      <c r="L98" s="702" t="e">
        <v>#REF!</v>
      </c>
      <c r="M98" s="702" t="e">
        <v>#REF!</v>
      </c>
      <c r="N98" s="702" t="e">
        <v>#REF!</v>
      </c>
      <c r="O98" s="702" t="e">
        <v>#REF!</v>
      </c>
      <c r="P98" s="702" t="e">
        <v>#REF!</v>
      </c>
      <c r="Q98" s="702" t="e">
        <v>#REF!</v>
      </c>
      <c r="R98" s="616">
        <v>289263</v>
      </c>
      <c r="S98" s="616">
        <v>301486</v>
      </c>
      <c r="T98" s="616">
        <v>231000</v>
      </c>
      <c r="U98" s="616">
        <v>233000</v>
      </c>
      <c r="V98" s="616">
        <v>252000</v>
      </c>
      <c r="W98" s="616">
        <v>243000</v>
      </c>
      <c r="X98" s="616">
        <v>30000</v>
      </c>
      <c r="Y98" s="616">
        <v>108000</v>
      </c>
      <c r="Z98" s="616">
        <v>111000</v>
      </c>
      <c r="AA98" s="616">
        <v>119000</v>
      </c>
      <c r="AB98" s="616">
        <v>132000</v>
      </c>
      <c r="AC98" s="1110"/>
    </row>
    <row r="99" spans="1:29">
      <c r="A99" s="34"/>
      <c r="B99" s="1111" t="s">
        <v>1187</v>
      </c>
      <c r="C99" s="1111"/>
      <c r="D99" s="1111"/>
      <c r="E99" s="34"/>
      <c r="F99" s="616"/>
      <c r="G99" s="616"/>
      <c r="H99" s="616"/>
      <c r="I99" s="616"/>
      <c r="J99" s="616"/>
      <c r="K99" s="616"/>
      <c r="L99" s="616"/>
      <c r="M99" s="616"/>
      <c r="N99" s="616"/>
      <c r="O99" s="616"/>
      <c r="P99" s="616"/>
      <c r="Q99" s="616"/>
      <c r="R99" s="702">
        <v>53054</v>
      </c>
      <c r="S99" s="702">
        <v>56318</v>
      </c>
      <c r="T99" s="702">
        <v>28000</v>
      </c>
      <c r="U99" s="702">
        <v>27000</v>
      </c>
      <c r="V99" s="702">
        <v>33000</v>
      </c>
      <c r="W99" s="702">
        <v>30000</v>
      </c>
      <c r="X99" s="702">
        <v>240000</v>
      </c>
      <c r="Y99" s="702"/>
      <c r="Z99" s="702"/>
      <c r="AA99" s="702"/>
      <c r="AB99" s="702"/>
      <c r="AC99" s="1110"/>
    </row>
    <row r="100" spans="1:29">
      <c r="A100" s="34"/>
      <c r="B100" s="1111" t="s">
        <v>158</v>
      </c>
      <c r="C100" s="1111"/>
      <c r="D100" s="1111"/>
      <c r="E100" s="34"/>
      <c r="F100" s="616" t="e">
        <v>#REF!</v>
      </c>
      <c r="G100" s="616" t="e">
        <v>#REF!</v>
      </c>
      <c r="H100" s="616" t="e">
        <v>#REF!</v>
      </c>
      <c r="I100" s="616" t="e">
        <v>#REF!</v>
      </c>
      <c r="J100" s="616" t="e">
        <v>#REF!</v>
      </c>
      <c r="K100" s="616" t="e">
        <v>#REF!</v>
      </c>
      <c r="L100" s="616" t="e">
        <v>#REF!</v>
      </c>
      <c r="M100" s="616" t="e">
        <v>#REF!</v>
      </c>
      <c r="N100" s="616" t="e">
        <v>#REF!</v>
      </c>
      <c r="O100" s="616" t="e">
        <v>#REF!</v>
      </c>
      <c r="P100" s="616" t="e">
        <v>#REF!</v>
      </c>
      <c r="Q100" s="616" t="e">
        <v>#REF!</v>
      </c>
      <c r="R100" s="616">
        <v>5281900</v>
      </c>
      <c r="S100" s="616">
        <v>5417348</v>
      </c>
      <c r="T100" s="616">
        <v>5559000</v>
      </c>
      <c r="U100" s="616">
        <v>6226000</v>
      </c>
      <c r="V100" s="616">
        <v>6361000</v>
      </c>
      <c r="W100" s="616">
        <v>5956000</v>
      </c>
      <c r="X100" s="616">
        <v>5978000</v>
      </c>
      <c r="Y100" s="616">
        <v>5701000</v>
      </c>
      <c r="Z100" s="616">
        <v>5738000</v>
      </c>
      <c r="AA100" s="616">
        <v>5777000</v>
      </c>
      <c r="AB100" s="616">
        <v>5850000</v>
      </c>
      <c r="AC100" s="1110"/>
    </row>
    <row r="101" spans="1:29">
      <c r="A101" s="34"/>
      <c r="B101" s="1111" t="s">
        <v>159</v>
      </c>
      <c r="C101" s="1111"/>
      <c r="D101" s="1111"/>
      <c r="E101" s="34"/>
      <c r="F101" s="702" t="e">
        <v>#REF!</v>
      </c>
      <c r="G101" s="702" t="e">
        <v>#REF!</v>
      </c>
      <c r="H101" s="702" t="e">
        <v>#REF!</v>
      </c>
      <c r="I101" s="702" t="e">
        <v>#REF!</v>
      </c>
      <c r="J101" s="702" t="e">
        <v>#REF!</v>
      </c>
      <c r="K101" s="702" t="e">
        <v>#REF!</v>
      </c>
      <c r="L101" s="702" t="e">
        <v>#REF!</v>
      </c>
      <c r="M101" s="702" t="e">
        <v>#REF!</v>
      </c>
      <c r="N101" s="702" t="e">
        <v>#REF!</v>
      </c>
      <c r="O101" s="702" t="e">
        <v>#REF!</v>
      </c>
      <c r="P101" s="702" t="e">
        <v>#REF!</v>
      </c>
      <c r="Q101" s="702" t="e">
        <v>#REF!</v>
      </c>
      <c r="R101" s="702">
        <v>509774</v>
      </c>
      <c r="S101" s="702">
        <v>851620</v>
      </c>
      <c r="T101" s="702">
        <v>868000</v>
      </c>
      <c r="U101" s="702">
        <v>380000</v>
      </c>
      <c r="V101" s="702">
        <v>318000</v>
      </c>
      <c r="W101" s="702">
        <v>216000</v>
      </c>
      <c r="X101" s="702">
        <v>221000</v>
      </c>
      <c r="Y101" s="702">
        <v>151000</v>
      </c>
      <c r="Z101" s="702">
        <v>156000</v>
      </c>
      <c r="AA101" s="702">
        <v>197000</v>
      </c>
      <c r="AB101" s="702">
        <v>267000</v>
      </c>
      <c r="AC101" s="1110"/>
    </row>
    <row r="102" spans="1:29">
      <c r="A102" s="34"/>
      <c r="B102" s="1111"/>
      <c r="C102" s="1111"/>
      <c r="D102" s="1111"/>
      <c r="E102" s="34"/>
      <c r="F102" s="616" t="e">
        <v>#REF!</v>
      </c>
      <c r="G102" s="616" t="e">
        <v>#REF!</v>
      </c>
      <c r="H102" s="616" t="e">
        <v>#REF!</v>
      </c>
      <c r="I102" s="616" t="e">
        <v>#REF!</v>
      </c>
      <c r="J102" s="616" t="e">
        <v>#REF!</v>
      </c>
      <c r="K102" s="616" t="e">
        <v>#REF!</v>
      </c>
      <c r="L102" s="616" t="e">
        <v>#REF!</v>
      </c>
      <c r="M102" s="616" t="e">
        <v>#REF!</v>
      </c>
      <c r="N102" s="616" t="e">
        <v>#REF!</v>
      </c>
      <c r="O102" s="616" t="e">
        <v>#REF!</v>
      </c>
      <c r="P102" s="616" t="e">
        <v>#REF!</v>
      </c>
      <c r="Q102" s="616" t="e">
        <v>#REF!</v>
      </c>
      <c r="R102" s="616">
        <v>5791674</v>
      </c>
      <c r="S102" s="616">
        <v>6268968</v>
      </c>
      <c r="T102" s="616">
        <v>6427000</v>
      </c>
      <c r="U102" s="616">
        <v>6606000</v>
      </c>
      <c r="V102" s="616">
        <v>6679000</v>
      </c>
      <c r="W102" s="616">
        <v>6172000</v>
      </c>
      <c r="X102" s="616">
        <v>6199000</v>
      </c>
      <c r="Y102" s="616">
        <v>5852000</v>
      </c>
      <c r="Z102" s="616">
        <v>5894000</v>
      </c>
      <c r="AA102" s="616">
        <v>5974000</v>
      </c>
      <c r="AB102" s="616">
        <v>6117000</v>
      </c>
      <c r="AC102" s="1110"/>
    </row>
    <row r="103" spans="1:29">
      <c r="A103" s="34"/>
      <c r="B103" s="1111" t="s">
        <v>160</v>
      </c>
      <c r="C103" s="1111"/>
      <c r="D103" s="1111"/>
      <c r="E103" s="34"/>
      <c r="F103" s="616"/>
      <c r="G103" s="616"/>
      <c r="H103" s="616"/>
      <c r="I103" s="616"/>
      <c r="J103" s="616"/>
      <c r="K103" s="616"/>
      <c r="L103" s="616"/>
      <c r="M103" s="616"/>
      <c r="N103" s="616"/>
      <c r="O103" s="616"/>
      <c r="P103" s="616"/>
      <c r="Q103" s="616"/>
      <c r="R103" s="1104"/>
      <c r="S103" s="1104"/>
      <c r="T103" s="1104"/>
      <c r="U103" s="1104"/>
      <c r="V103" s="1104"/>
      <c r="W103" s="1104"/>
      <c r="X103" s="1104">
        <v>75000</v>
      </c>
      <c r="Y103" s="1104">
        <v>60000</v>
      </c>
      <c r="Z103" s="1104">
        <v>60000</v>
      </c>
      <c r="AA103" s="1104">
        <v>61000</v>
      </c>
      <c r="AB103" s="1104">
        <v>67000</v>
      </c>
      <c r="AC103" s="1110"/>
    </row>
    <row r="104" spans="1:29">
      <c r="A104" s="34"/>
      <c r="B104" s="34"/>
      <c r="C104" s="34"/>
      <c r="D104" s="34"/>
      <c r="E104" s="34"/>
      <c r="F104" s="616"/>
      <c r="G104" s="616"/>
      <c r="H104" s="616"/>
      <c r="I104" s="616"/>
      <c r="J104" s="616"/>
      <c r="K104" s="616"/>
      <c r="L104" s="616"/>
      <c r="M104" s="616"/>
      <c r="N104" s="616"/>
      <c r="O104" s="616"/>
      <c r="P104" s="616"/>
      <c r="Q104" s="616"/>
      <c r="R104" s="616">
        <v>5791674</v>
      </c>
      <c r="S104" s="616">
        <v>6268968</v>
      </c>
      <c r="T104" s="616">
        <v>6427000</v>
      </c>
      <c r="U104" s="616">
        <v>6606000</v>
      </c>
      <c r="V104" s="616">
        <v>6679000</v>
      </c>
      <c r="W104" s="616">
        <v>6172000</v>
      </c>
      <c r="X104" s="616">
        <v>6274000</v>
      </c>
      <c r="Y104" s="616">
        <v>5912000</v>
      </c>
      <c r="Z104" s="616">
        <v>5954000</v>
      </c>
      <c r="AA104" s="616">
        <v>6035000</v>
      </c>
      <c r="AB104" s="616">
        <v>6184000</v>
      </c>
      <c r="AC104" s="1110"/>
    </row>
    <row r="105" spans="1:29">
      <c r="A105" s="34"/>
      <c r="B105" s="34" t="s">
        <v>163</v>
      </c>
      <c r="C105" s="34"/>
      <c r="D105" s="34"/>
      <c r="E105" s="34"/>
      <c r="F105" s="616">
        <v>0</v>
      </c>
      <c r="G105" s="616">
        <v>0</v>
      </c>
      <c r="H105" s="616">
        <v>0</v>
      </c>
      <c r="I105" s="616">
        <v>0</v>
      </c>
      <c r="J105" s="616">
        <v>0</v>
      </c>
      <c r="K105" s="616">
        <v>0</v>
      </c>
      <c r="L105" s="616">
        <v>0</v>
      </c>
      <c r="M105" s="616">
        <v>-229</v>
      </c>
      <c r="N105" s="616">
        <v>-305</v>
      </c>
      <c r="O105" s="616">
        <v>-381</v>
      </c>
      <c r="P105" s="616">
        <v>-401</v>
      </c>
      <c r="Q105" s="616">
        <v>-401</v>
      </c>
      <c r="R105" s="702">
        <v>-978055</v>
      </c>
      <c r="S105" s="702">
        <v>-1105369</v>
      </c>
      <c r="T105" s="702">
        <v>-1259000</v>
      </c>
      <c r="U105" s="702">
        <v>-1426000</v>
      </c>
      <c r="V105" s="702">
        <v>-1601000</v>
      </c>
      <c r="W105" s="702">
        <v>-1473000</v>
      </c>
      <c r="X105" s="702">
        <v>-1663000</v>
      </c>
      <c r="Y105" s="702">
        <v>-1659000</v>
      </c>
      <c r="Z105" s="702">
        <v>-1828000</v>
      </c>
      <c r="AA105" s="700">
        <v>-2009000</v>
      </c>
      <c r="AB105" s="700">
        <v>-2223000</v>
      </c>
      <c r="AC105" s="1110"/>
    </row>
    <row r="106" spans="1:29">
      <c r="A106" s="34"/>
      <c r="B106" s="613" t="s">
        <v>164</v>
      </c>
      <c r="C106" s="34"/>
      <c r="D106" s="34"/>
      <c r="E106" s="34"/>
      <c r="F106" s="702" t="e">
        <v>#REF!</v>
      </c>
      <c r="G106" s="702" t="e">
        <v>#REF!</v>
      </c>
      <c r="H106" s="702" t="e">
        <v>#REF!</v>
      </c>
      <c r="I106" s="702" t="e">
        <v>#REF!</v>
      </c>
      <c r="J106" s="702" t="e">
        <v>#REF!</v>
      </c>
      <c r="K106" s="702" t="e">
        <v>#REF!</v>
      </c>
      <c r="L106" s="702" t="e">
        <v>#REF!</v>
      </c>
      <c r="M106" s="702" t="e">
        <v>#REF!</v>
      </c>
      <c r="N106" s="702" t="e">
        <v>#REF!</v>
      </c>
      <c r="O106" s="702" t="e">
        <v>#REF!</v>
      </c>
      <c r="P106" s="702" t="e">
        <v>#REF!</v>
      </c>
      <c r="Q106" s="702" t="e">
        <v>#REF!</v>
      </c>
      <c r="R106" s="616">
        <v>4813619</v>
      </c>
      <c r="S106" s="616">
        <v>5163599</v>
      </c>
      <c r="T106" s="616">
        <v>5168000</v>
      </c>
      <c r="U106" s="616">
        <v>5180000</v>
      </c>
      <c r="V106" s="616">
        <v>5078000</v>
      </c>
      <c r="W106" s="616">
        <v>4699000</v>
      </c>
      <c r="X106" s="616">
        <v>4611000</v>
      </c>
      <c r="Y106" s="616">
        <v>4253000</v>
      </c>
      <c r="Z106" s="616">
        <v>4126000</v>
      </c>
      <c r="AA106" s="616">
        <v>4026000</v>
      </c>
      <c r="AB106" s="616">
        <v>3961000</v>
      </c>
      <c r="AC106" s="1110"/>
    </row>
    <row r="107" spans="1:29">
      <c r="A107" s="34"/>
      <c r="B107" s="34"/>
      <c r="C107" s="34"/>
      <c r="D107" s="34"/>
      <c r="E107" s="34"/>
      <c r="F107" s="616"/>
      <c r="G107" s="616"/>
      <c r="H107" s="616"/>
      <c r="I107" s="616"/>
      <c r="J107" s="616"/>
      <c r="K107" s="616"/>
      <c r="L107" s="616"/>
      <c r="M107" s="616"/>
      <c r="N107" s="616"/>
      <c r="O107" s="616"/>
      <c r="P107" s="616"/>
      <c r="Q107" s="616"/>
      <c r="R107" s="616"/>
      <c r="S107" s="616"/>
      <c r="T107" s="616"/>
      <c r="U107" s="616"/>
      <c r="V107" s="616"/>
      <c r="W107" s="616"/>
      <c r="X107" s="616"/>
      <c r="Y107" s="616"/>
      <c r="Z107" s="616"/>
      <c r="AA107" s="616"/>
      <c r="AB107" s="616"/>
      <c r="AC107" s="1110"/>
    </row>
    <row r="108" spans="1:29" ht="13.5" thickBot="1">
      <c r="A108" s="34"/>
      <c r="B108" s="613" t="s">
        <v>165</v>
      </c>
      <c r="C108" s="34"/>
      <c r="D108" s="1276" t="s">
        <v>1208</v>
      </c>
      <c r="E108" s="34"/>
      <c r="F108" s="725" t="e">
        <v>#REF!</v>
      </c>
      <c r="G108" s="725" t="e">
        <v>#REF!</v>
      </c>
      <c r="H108" s="725" t="e">
        <v>#REF!</v>
      </c>
      <c r="I108" s="725" t="e">
        <v>#REF!</v>
      </c>
      <c r="J108" s="725" t="e">
        <v>#REF!</v>
      </c>
      <c r="K108" s="725" t="e">
        <v>#REF!</v>
      </c>
      <c r="L108" s="725" t="e">
        <v>#REF!</v>
      </c>
      <c r="M108" s="725" t="e">
        <v>#REF!</v>
      </c>
      <c r="N108" s="725" t="e">
        <v>#REF!</v>
      </c>
      <c r="O108" s="725" t="e">
        <v>#REF!</v>
      </c>
      <c r="P108" s="725" t="e">
        <v>#REF!</v>
      </c>
      <c r="Q108" s="725" t="e">
        <v>#REF!</v>
      </c>
      <c r="R108" s="725">
        <v>5643490</v>
      </c>
      <c r="S108" s="725">
        <v>6112392</v>
      </c>
      <c r="T108" s="725">
        <v>6197000</v>
      </c>
      <c r="U108" s="725">
        <v>6186000</v>
      </c>
      <c r="V108" s="725">
        <v>6089000</v>
      </c>
      <c r="W108" s="725">
        <v>5652000</v>
      </c>
      <c r="X108" s="725">
        <v>5455000</v>
      </c>
      <c r="Y108" s="725">
        <v>5311000</v>
      </c>
      <c r="Z108" s="725">
        <v>4954000</v>
      </c>
      <c r="AA108" s="725">
        <v>4896000</v>
      </c>
      <c r="AB108" s="725">
        <v>5028000</v>
      </c>
      <c r="AC108" s="1110"/>
    </row>
    <row r="109" spans="1:29" ht="13.5" thickTop="1">
      <c r="A109" s="34"/>
      <c r="B109" s="613"/>
      <c r="C109" s="34"/>
      <c r="D109" s="1276" t="s">
        <v>93</v>
      </c>
      <c r="E109" s="34"/>
      <c r="F109" s="616"/>
      <c r="G109" s="616"/>
      <c r="H109" s="616"/>
      <c r="I109" s="706"/>
      <c r="J109" s="706"/>
      <c r="K109" s="706"/>
      <c r="L109" s="616"/>
      <c r="M109" s="616"/>
      <c r="N109" s="616"/>
      <c r="O109" s="706"/>
      <c r="P109" s="616"/>
      <c r="Q109" s="616"/>
      <c r="R109" s="707">
        <v>0</v>
      </c>
      <c r="S109" s="707">
        <v>0</v>
      </c>
      <c r="T109" s="616">
        <v>0</v>
      </c>
      <c r="U109" s="616">
        <v>0</v>
      </c>
      <c r="V109" s="616">
        <v>0</v>
      </c>
      <c r="W109" s="616">
        <v>0</v>
      </c>
      <c r="X109" s="616">
        <v>0</v>
      </c>
      <c r="Y109" s="616">
        <v>0</v>
      </c>
      <c r="Z109" s="616">
        <v>0</v>
      </c>
      <c r="AA109" s="616">
        <v>0</v>
      </c>
      <c r="AB109" s="616">
        <v>0</v>
      </c>
      <c r="AC109" s="1110"/>
    </row>
    <row r="110" spans="1:29" ht="18">
      <c r="A110" s="1180"/>
      <c r="B110" s="1180"/>
      <c r="C110" s="1180"/>
      <c r="D110" s="1180"/>
      <c r="E110" s="1578"/>
      <c r="F110" s="1578"/>
      <c r="G110" s="1578"/>
      <c r="H110" s="1578"/>
      <c r="I110" s="1579"/>
      <c r="J110" s="1579"/>
      <c r="K110" s="1579"/>
      <c r="L110" s="1580"/>
      <c r="M110" s="1580"/>
      <c r="N110" s="1580"/>
      <c r="O110" s="751"/>
      <c r="P110" s="752"/>
      <c r="Q110" s="684"/>
      <c r="R110" s="684"/>
      <c r="S110" s="684"/>
      <c r="T110" s="684"/>
      <c r="U110" s="684"/>
      <c r="V110" s="684"/>
      <c r="W110" s="1552" t="s">
        <v>166</v>
      </c>
      <c r="X110" s="1553"/>
      <c r="Y110" s="1553"/>
      <c r="Z110" s="1553"/>
      <c r="AA110" s="1554"/>
      <c r="AB110" s="1083">
        <v>5.2999999999999989</v>
      </c>
      <c r="AC110" s="1110"/>
    </row>
    <row r="111" spans="1:29" ht="15.75">
      <c r="A111" s="972"/>
      <c r="B111" s="972"/>
      <c r="C111" s="972"/>
      <c r="D111" s="973"/>
      <c r="E111" s="1013"/>
      <c r="F111" s="34">
        <v>0</v>
      </c>
      <c r="G111" s="34">
        <v>1</v>
      </c>
      <c r="H111" s="34">
        <v>2</v>
      </c>
      <c r="I111" s="34">
        <v>3</v>
      </c>
      <c r="J111" s="34">
        <v>4</v>
      </c>
      <c r="K111" s="34">
        <v>5</v>
      </c>
      <c r="L111" s="34">
        <v>6</v>
      </c>
      <c r="M111" s="34">
        <v>7</v>
      </c>
      <c r="N111" s="1276">
        <v>8</v>
      </c>
      <c r="O111" s="34">
        <v>9</v>
      </c>
      <c r="P111" s="34">
        <v>10</v>
      </c>
      <c r="Q111" s="34">
        <v>11</v>
      </c>
      <c r="R111" s="34">
        <v>0</v>
      </c>
      <c r="S111" s="34">
        <v>1</v>
      </c>
      <c r="T111" s="34">
        <v>2</v>
      </c>
      <c r="U111" s="34">
        <v>3</v>
      </c>
      <c r="V111" s="34">
        <v>4</v>
      </c>
      <c r="W111" s="34">
        <v>5</v>
      </c>
      <c r="X111" s="34">
        <v>6</v>
      </c>
      <c r="Y111" s="34">
        <v>7</v>
      </c>
      <c r="Z111" s="34">
        <v>8</v>
      </c>
      <c r="AA111" s="34">
        <v>9</v>
      </c>
      <c r="AB111" s="616">
        <v>10</v>
      </c>
      <c r="AC111" s="1110"/>
    </row>
    <row r="112" spans="1:29">
      <c r="E112" s="999"/>
      <c r="F112" s="740">
        <v>1999</v>
      </c>
      <c r="G112" s="740">
        <v>2000</v>
      </c>
      <c r="H112" s="740">
        <v>2001</v>
      </c>
      <c r="I112" s="740">
        <v>2002</v>
      </c>
      <c r="J112" s="740">
        <v>2003</v>
      </c>
      <c r="K112" s="740">
        <v>2004</v>
      </c>
      <c r="L112" s="740">
        <v>2005</v>
      </c>
      <c r="M112" s="740">
        <v>2006</v>
      </c>
      <c r="N112" s="740">
        <v>2007</v>
      </c>
      <c r="O112" s="740">
        <v>2008</v>
      </c>
      <c r="P112" s="740">
        <v>2009</v>
      </c>
      <c r="Q112" s="740">
        <v>2010</v>
      </c>
      <c r="R112" s="980">
        <v>2011</v>
      </c>
      <c r="S112" s="980">
        <v>2012</v>
      </c>
      <c r="T112" s="980">
        <v>2013</v>
      </c>
      <c r="U112" s="980">
        <v>2014</v>
      </c>
      <c r="V112" s="980">
        <v>2015</v>
      </c>
      <c r="W112" s="980">
        <v>2016</v>
      </c>
      <c r="X112" s="980">
        <v>2017</v>
      </c>
      <c r="Y112" s="980">
        <v>2018</v>
      </c>
      <c r="Z112" s="980">
        <v>2019</v>
      </c>
      <c r="AA112" s="980">
        <v>2020</v>
      </c>
      <c r="AB112" s="980">
        <v>2021</v>
      </c>
      <c r="AC112" s="1110"/>
    </row>
    <row r="113" spans="1:30">
      <c r="A113" s="982" t="s">
        <v>20</v>
      </c>
      <c r="B113" s="758"/>
      <c r="C113" s="749"/>
      <c r="D113" s="749"/>
      <c r="E113" s="999"/>
      <c r="F113" s="714"/>
      <c r="G113" s="714"/>
      <c r="H113" s="714"/>
      <c r="I113" s="714"/>
      <c r="J113" s="714"/>
      <c r="K113" s="714"/>
      <c r="L113" s="714"/>
      <c r="M113" s="714"/>
      <c r="N113" s="714"/>
      <c r="O113" s="714"/>
      <c r="P113" s="714"/>
      <c r="Q113" s="714"/>
      <c r="R113" s="1140"/>
      <c r="S113" s="714"/>
      <c r="T113" s="714"/>
      <c r="U113" s="714"/>
      <c r="V113" s="714"/>
      <c r="W113" s="714"/>
      <c r="X113" s="700" t="s">
        <v>108</v>
      </c>
      <c r="Y113" s="714"/>
      <c r="Z113" s="714"/>
      <c r="AA113" s="714"/>
      <c r="AB113" s="616"/>
      <c r="AC113" s="1110"/>
    </row>
    <row r="114" spans="1:30">
      <c r="A114" s="34"/>
      <c r="B114" s="34" t="s">
        <v>167</v>
      </c>
      <c r="C114" s="34"/>
      <c r="D114" s="34"/>
      <c r="E114" s="34"/>
      <c r="F114" s="616">
        <v>41728</v>
      </c>
      <c r="G114" s="616">
        <v>64139</v>
      </c>
      <c r="H114" s="616">
        <v>102775</v>
      </c>
      <c r="I114" s="616">
        <v>7394</v>
      </c>
      <c r="J114" s="616">
        <v>22807</v>
      </c>
      <c r="K114" s="616">
        <v>38973</v>
      </c>
      <c r="L114" s="616">
        <v>37722</v>
      </c>
      <c r="M114" s="616">
        <v>9347</v>
      </c>
      <c r="N114" s="616">
        <v>193707</v>
      </c>
      <c r="O114" s="616">
        <v>6228</v>
      </c>
      <c r="P114" s="755">
        <v>6218</v>
      </c>
      <c r="Q114" s="616">
        <v>11065</v>
      </c>
      <c r="R114" s="616">
        <v>354693</v>
      </c>
      <c r="S114" s="616">
        <v>409295</v>
      </c>
      <c r="T114" s="616">
        <v>319000</v>
      </c>
      <c r="U114" s="755">
        <v>277000</v>
      </c>
      <c r="V114" s="755">
        <v>214000</v>
      </c>
      <c r="W114" s="755">
        <v>223000</v>
      </c>
      <c r="X114" s="755">
        <v>202000</v>
      </c>
      <c r="Y114" s="755">
        <v>172000</v>
      </c>
      <c r="Z114" s="755">
        <v>185000</v>
      </c>
      <c r="AA114" s="755">
        <v>190000</v>
      </c>
      <c r="AB114" s="616">
        <v>305000</v>
      </c>
      <c r="AC114" s="1110"/>
    </row>
    <row r="115" spans="1:30">
      <c r="A115" s="34"/>
      <c r="B115" s="1120" t="s">
        <v>155</v>
      </c>
      <c r="C115" s="1120"/>
      <c r="D115" s="1120"/>
      <c r="E115" s="1111"/>
      <c r="F115" s="616">
        <v>0</v>
      </c>
      <c r="G115" s="616">
        <v>0</v>
      </c>
      <c r="H115" s="616">
        <v>0</v>
      </c>
      <c r="I115" s="616">
        <v>0</v>
      </c>
      <c r="J115" s="616">
        <v>0</v>
      </c>
      <c r="K115" s="616">
        <v>0</v>
      </c>
      <c r="L115" s="616">
        <v>0</v>
      </c>
      <c r="M115" s="616">
        <v>0</v>
      </c>
      <c r="N115" s="616">
        <v>0</v>
      </c>
      <c r="O115" s="616">
        <v>0</v>
      </c>
      <c r="P115" s="616">
        <v>0</v>
      </c>
      <c r="Q115" s="616">
        <v>0</v>
      </c>
      <c r="R115" s="616"/>
      <c r="S115" s="616"/>
      <c r="T115" s="616"/>
      <c r="U115" s="616"/>
      <c r="V115" s="616"/>
      <c r="W115" s="616"/>
      <c r="X115" s="616"/>
      <c r="Y115" s="616"/>
      <c r="Z115" s="616"/>
      <c r="AA115" s="616"/>
      <c r="AB115" s="616"/>
      <c r="AC115" s="1110"/>
    </row>
    <row r="116" spans="1:30">
      <c r="A116" s="34"/>
      <c r="B116" s="1111" t="s">
        <v>176</v>
      </c>
      <c r="C116" s="1111"/>
      <c r="D116" s="1111"/>
      <c r="E116" s="34"/>
      <c r="F116" s="616">
        <v>489</v>
      </c>
      <c r="G116" s="616">
        <v>-7608</v>
      </c>
      <c r="H116" s="616">
        <v>0</v>
      </c>
      <c r="I116" s="616">
        <v>0</v>
      </c>
      <c r="J116" s="616">
        <v>0</v>
      </c>
      <c r="K116" s="616">
        <v>2545</v>
      </c>
      <c r="L116" s="616">
        <v>2257</v>
      </c>
      <c r="M116" s="616">
        <v>2085</v>
      </c>
      <c r="N116" s="616">
        <v>0</v>
      </c>
      <c r="O116" s="616">
        <v>0</v>
      </c>
      <c r="P116" s="616">
        <v>28041</v>
      </c>
      <c r="Q116" s="616">
        <v>31633</v>
      </c>
      <c r="R116" s="616">
        <v>0</v>
      </c>
      <c r="S116" s="616">
        <v>27831</v>
      </c>
      <c r="T116" s="616">
        <v>15000</v>
      </c>
      <c r="U116" s="756">
        <v>19000</v>
      </c>
      <c r="V116" s="755"/>
      <c r="W116" s="755">
        <v>0</v>
      </c>
      <c r="X116" s="755">
        <v>4000</v>
      </c>
      <c r="Y116" s="755">
        <v>7000</v>
      </c>
      <c r="Z116" s="755">
        <v>34000</v>
      </c>
      <c r="AA116" s="755">
        <v>28000</v>
      </c>
      <c r="AB116" s="616">
        <v>39000</v>
      </c>
      <c r="AC116" s="1110"/>
    </row>
    <row r="117" spans="1:30">
      <c r="A117" s="34"/>
      <c r="B117" s="1111" t="s">
        <v>177</v>
      </c>
      <c r="C117" s="1111"/>
      <c r="D117" s="1111"/>
      <c r="E117" s="34"/>
      <c r="F117" s="616">
        <v>0</v>
      </c>
      <c r="G117" s="616">
        <v>0</v>
      </c>
      <c r="H117" s="616">
        <v>0</v>
      </c>
      <c r="I117" s="616">
        <v>0</v>
      </c>
      <c r="J117" s="616">
        <v>0</v>
      </c>
      <c r="K117" s="616">
        <v>0</v>
      </c>
      <c r="L117" s="616">
        <v>0</v>
      </c>
      <c r="M117" s="616">
        <v>0</v>
      </c>
      <c r="N117" s="616">
        <v>0</v>
      </c>
      <c r="O117" s="616">
        <v>138</v>
      </c>
      <c r="P117" s="616">
        <v>194</v>
      </c>
      <c r="Q117" s="616">
        <v>15</v>
      </c>
      <c r="R117" s="616"/>
      <c r="S117" s="616"/>
      <c r="T117" s="616"/>
      <c r="U117" s="756"/>
      <c r="V117" s="755"/>
      <c r="W117" s="755"/>
      <c r="X117" s="755"/>
      <c r="Y117" s="755">
        <v>42000</v>
      </c>
      <c r="Z117" s="755"/>
      <c r="AA117" s="755"/>
      <c r="AB117" s="616"/>
      <c r="AC117" s="1110"/>
    </row>
    <row r="118" spans="1:30">
      <c r="A118" s="34"/>
      <c r="B118" s="1111" t="s">
        <v>179</v>
      </c>
      <c r="C118" s="1111"/>
      <c r="D118" s="1111"/>
      <c r="E118" s="34"/>
      <c r="F118" s="702">
        <v>49500</v>
      </c>
      <c r="G118" s="702">
        <v>23198</v>
      </c>
      <c r="H118" s="702">
        <v>378371</v>
      </c>
      <c r="I118" s="702">
        <v>184731</v>
      </c>
      <c r="J118" s="702">
        <v>723098</v>
      </c>
      <c r="K118" s="702">
        <v>158310</v>
      </c>
      <c r="L118" s="702">
        <v>370141</v>
      </c>
      <c r="M118" s="702">
        <v>0</v>
      </c>
      <c r="N118" s="702">
        <v>0</v>
      </c>
      <c r="O118" s="702">
        <v>149808</v>
      </c>
      <c r="P118" s="702">
        <v>123166</v>
      </c>
      <c r="Q118" s="702">
        <v>284417</v>
      </c>
      <c r="R118" s="702">
        <v>3012</v>
      </c>
      <c r="S118" s="702">
        <v>101907</v>
      </c>
      <c r="T118" s="702">
        <v>671000</v>
      </c>
      <c r="U118" s="759">
        <v>237000</v>
      </c>
      <c r="V118" s="759">
        <v>531000</v>
      </c>
      <c r="W118" s="759">
        <v>305000</v>
      </c>
      <c r="X118" s="759">
        <v>391000</v>
      </c>
      <c r="Y118" s="759">
        <v>513000</v>
      </c>
      <c r="Z118" s="759">
        <v>127000</v>
      </c>
      <c r="AA118" s="759">
        <v>220000</v>
      </c>
      <c r="AB118" s="702">
        <v>163000</v>
      </c>
      <c r="AC118" s="1110"/>
    </row>
    <row r="119" spans="1:30">
      <c r="A119" s="34"/>
      <c r="B119" s="1111"/>
      <c r="C119" s="1111"/>
      <c r="D119" s="1111"/>
      <c r="E119" s="34"/>
      <c r="F119" s="616">
        <v>91717</v>
      </c>
      <c r="G119" s="616">
        <v>79729</v>
      </c>
      <c r="H119" s="616">
        <v>481146</v>
      </c>
      <c r="I119" s="616">
        <v>192125</v>
      </c>
      <c r="J119" s="616">
        <v>745905</v>
      </c>
      <c r="K119" s="616">
        <v>199828</v>
      </c>
      <c r="L119" s="616">
        <v>410120</v>
      </c>
      <c r="M119" s="616">
        <v>11432</v>
      </c>
      <c r="N119" s="616">
        <v>193707</v>
      </c>
      <c r="O119" s="616">
        <v>156174</v>
      </c>
      <c r="P119" s="616">
        <v>157619</v>
      </c>
      <c r="Q119" s="616">
        <v>327130</v>
      </c>
      <c r="R119" s="755">
        <v>357705</v>
      </c>
      <c r="S119" s="755">
        <v>539033</v>
      </c>
      <c r="T119" s="755">
        <v>1005000</v>
      </c>
      <c r="U119" s="755">
        <v>533000</v>
      </c>
      <c r="V119" s="755">
        <v>745000</v>
      </c>
      <c r="W119" s="755">
        <v>528000</v>
      </c>
      <c r="X119" s="755">
        <v>597000</v>
      </c>
      <c r="Y119" s="755">
        <v>734000</v>
      </c>
      <c r="Z119" s="755">
        <v>346000</v>
      </c>
      <c r="AA119" s="755">
        <v>438000</v>
      </c>
      <c r="AB119" s="755">
        <v>507000</v>
      </c>
      <c r="AC119" s="1110"/>
    </row>
    <row r="120" spans="1:30">
      <c r="A120" s="34"/>
      <c r="B120" s="1111"/>
      <c r="C120" s="1111"/>
      <c r="D120" s="1431"/>
      <c r="E120" s="34"/>
      <c r="F120" s="616"/>
      <c r="G120" s="616"/>
      <c r="H120" s="616"/>
      <c r="I120" s="616"/>
      <c r="J120" s="616"/>
      <c r="K120" s="616"/>
      <c r="L120" s="616"/>
      <c r="M120" s="616"/>
      <c r="N120" s="616"/>
      <c r="O120" s="616"/>
      <c r="P120" s="616"/>
      <c r="Q120" s="616"/>
      <c r="R120" s="616"/>
      <c r="S120" s="616"/>
      <c r="T120" s="616"/>
      <c r="U120" s="616"/>
      <c r="V120" s="616"/>
      <c r="W120" s="616"/>
      <c r="X120" s="616"/>
      <c r="Y120" s="616"/>
      <c r="Z120" s="755"/>
      <c r="AA120" s="755"/>
      <c r="AB120" s="616"/>
      <c r="AC120" s="1110"/>
    </row>
    <row r="121" spans="1:30">
      <c r="A121" s="34"/>
      <c r="B121" s="1111" t="s">
        <v>255</v>
      </c>
      <c r="C121" s="1111"/>
      <c r="D121" s="1111"/>
      <c r="E121" s="34"/>
      <c r="F121" s="616">
        <v>5014</v>
      </c>
      <c r="G121" s="616">
        <v>28728</v>
      </c>
      <c r="H121" s="616">
        <v>66401</v>
      </c>
      <c r="I121" s="616">
        <v>92031</v>
      </c>
      <c r="J121" s="616">
        <v>138871</v>
      </c>
      <c r="K121" s="616">
        <v>145260</v>
      </c>
      <c r="L121" s="616">
        <v>179168</v>
      </c>
      <c r="M121" s="616">
        <v>970959</v>
      </c>
      <c r="N121" s="616">
        <v>1331772</v>
      </c>
      <c r="O121" s="616">
        <v>1329478</v>
      </c>
      <c r="P121" s="616">
        <v>1301231</v>
      </c>
      <c r="Q121" s="616">
        <v>1559507</v>
      </c>
      <c r="R121" s="616">
        <v>680204</v>
      </c>
      <c r="S121" s="616">
        <v>700479</v>
      </c>
      <c r="T121" s="616">
        <v>735000</v>
      </c>
      <c r="U121" s="755">
        <v>768000</v>
      </c>
      <c r="V121" s="755">
        <v>792000</v>
      </c>
      <c r="W121" s="755">
        <v>736000</v>
      </c>
      <c r="X121" s="755">
        <v>749000</v>
      </c>
      <c r="Y121" s="755">
        <v>751000</v>
      </c>
      <c r="Z121" s="755">
        <v>676000</v>
      </c>
      <c r="AA121" s="755">
        <v>653000</v>
      </c>
      <c r="AB121" s="616">
        <v>635000</v>
      </c>
      <c r="AC121" s="1110"/>
    </row>
    <row r="122" spans="1:30">
      <c r="A122" s="34"/>
      <c r="B122" s="1111" t="s">
        <v>1215</v>
      </c>
      <c r="C122" s="1111"/>
      <c r="D122" s="1111"/>
      <c r="E122" s="34"/>
      <c r="F122" s="616"/>
      <c r="G122" s="616"/>
      <c r="H122" s="616"/>
      <c r="I122" s="616"/>
      <c r="J122" s="616"/>
      <c r="K122" s="616"/>
      <c r="L122" s="616"/>
      <c r="M122" s="616"/>
      <c r="N122" s="616"/>
      <c r="O122" s="616"/>
      <c r="P122" s="616"/>
      <c r="Q122" s="616"/>
      <c r="R122" s="616">
        <v>56503</v>
      </c>
      <c r="S122" s="616">
        <v>60016</v>
      </c>
      <c r="T122" s="616">
        <v>50000</v>
      </c>
      <c r="U122" s="755">
        <v>53000</v>
      </c>
      <c r="V122" s="755">
        <v>57000</v>
      </c>
      <c r="W122" s="755">
        <v>51000</v>
      </c>
      <c r="X122" s="755">
        <v>56000</v>
      </c>
      <c r="Y122" s="755">
        <v>50000</v>
      </c>
      <c r="Z122" s="755">
        <v>55000</v>
      </c>
      <c r="AA122" s="755">
        <v>59000</v>
      </c>
      <c r="AB122" s="616">
        <v>50000</v>
      </c>
      <c r="AC122" s="1110"/>
    </row>
    <row r="123" spans="1:30">
      <c r="A123" s="34"/>
      <c r="B123" s="1397" t="s">
        <v>1216</v>
      </c>
      <c r="C123" s="1111"/>
      <c r="D123" s="1111"/>
      <c r="E123" s="34"/>
      <c r="F123" s="616"/>
      <c r="G123" s="616"/>
      <c r="H123" s="616"/>
      <c r="I123" s="616"/>
      <c r="J123" s="616"/>
      <c r="K123" s="616"/>
      <c r="L123" s="616"/>
      <c r="M123" s="616"/>
      <c r="N123" s="616"/>
      <c r="O123" s="616"/>
      <c r="P123" s="616"/>
      <c r="Q123" s="616"/>
      <c r="R123" s="616">
        <v>4382</v>
      </c>
      <c r="S123" s="616">
        <v>8356</v>
      </c>
      <c r="T123" s="616">
        <v>14000</v>
      </c>
      <c r="U123" s="755">
        <v>2000</v>
      </c>
      <c r="V123" s="755">
        <v>2000</v>
      </c>
      <c r="W123" s="755">
        <v>3000</v>
      </c>
      <c r="X123" s="755">
        <v>8000</v>
      </c>
      <c r="Y123" s="755">
        <v>9000</v>
      </c>
      <c r="Z123" s="755">
        <v>4000</v>
      </c>
      <c r="AA123" s="755">
        <v>9000</v>
      </c>
      <c r="AB123" s="616">
        <v>24000</v>
      </c>
      <c r="AC123" s="1110"/>
    </row>
    <row r="124" spans="1:30">
      <c r="A124" s="34"/>
      <c r="B124" s="1256"/>
      <c r="C124" s="1111"/>
      <c r="D124" s="1111"/>
      <c r="E124" s="34"/>
      <c r="F124" s="616"/>
      <c r="G124" s="616"/>
      <c r="H124" s="616"/>
      <c r="I124" s="616"/>
      <c r="J124" s="616"/>
      <c r="K124" s="616"/>
      <c r="L124" s="616"/>
      <c r="M124" s="616"/>
      <c r="N124" s="616"/>
      <c r="O124" s="616"/>
      <c r="P124" s="616"/>
      <c r="Q124" s="616"/>
      <c r="R124" s="616"/>
      <c r="S124" s="616"/>
      <c r="T124" s="616"/>
      <c r="U124" s="755"/>
      <c r="V124" s="755"/>
      <c r="W124" s="755"/>
      <c r="X124" s="755"/>
      <c r="Y124" s="755"/>
      <c r="Z124" s="755"/>
      <c r="AA124" s="755"/>
      <c r="AB124" s="616"/>
      <c r="AC124" s="1110"/>
    </row>
    <row r="125" spans="1:30">
      <c r="A125" s="34"/>
      <c r="B125" s="1120" t="s">
        <v>155</v>
      </c>
      <c r="C125" s="1111"/>
      <c r="D125" s="1111"/>
      <c r="E125" s="1111"/>
      <c r="F125" s="616">
        <v>0</v>
      </c>
      <c r="G125" s="616">
        <v>0</v>
      </c>
      <c r="H125" s="616">
        <v>0</v>
      </c>
      <c r="I125" s="616">
        <v>0</v>
      </c>
      <c r="J125" s="616">
        <v>0</v>
      </c>
      <c r="K125" s="616">
        <v>0</v>
      </c>
      <c r="L125" s="616">
        <v>0</v>
      </c>
      <c r="M125" s="616">
        <v>0</v>
      </c>
      <c r="N125" s="616">
        <v>0</v>
      </c>
      <c r="O125" s="616">
        <v>0</v>
      </c>
      <c r="P125" s="616">
        <v>0</v>
      </c>
      <c r="Q125" s="616">
        <v>0</v>
      </c>
      <c r="R125" s="616">
        <v>226491</v>
      </c>
      <c r="S125" s="616">
        <v>184346</v>
      </c>
      <c r="T125" s="616">
        <v>147000</v>
      </c>
      <c r="U125" s="616">
        <v>165000</v>
      </c>
      <c r="V125" s="616">
        <v>81000</v>
      </c>
      <c r="W125" s="616">
        <v>106000</v>
      </c>
      <c r="X125" s="616">
        <v>102000</v>
      </c>
      <c r="Y125" s="616">
        <v>61000</v>
      </c>
      <c r="Z125" s="616">
        <v>113000</v>
      </c>
      <c r="AA125" s="616">
        <v>127000</v>
      </c>
      <c r="AB125" s="616">
        <v>176000</v>
      </c>
      <c r="AC125" s="1110" t="s">
        <v>1408</v>
      </c>
      <c r="AD125" s="14"/>
    </row>
    <row r="126" spans="1:30">
      <c r="A126" s="34"/>
      <c r="B126" s="1111" t="s">
        <v>1159</v>
      </c>
      <c r="C126" s="1111"/>
      <c r="D126" s="1111"/>
      <c r="E126" s="34"/>
      <c r="F126" s="616">
        <v>0</v>
      </c>
      <c r="G126" s="616">
        <v>0</v>
      </c>
      <c r="H126" s="616">
        <v>0</v>
      </c>
      <c r="I126" s="616">
        <v>0</v>
      </c>
      <c r="J126" s="616">
        <v>0</v>
      </c>
      <c r="K126" s="616">
        <v>0</v>
      </c>
      <c r="L126" s="616">
        <v>0</v>
      </c>
      <c r="M126" s="616">
        <v>0</v>
      </c>
      <c r="N126" s="616">
        <v>0</v>
      </c>
      <c r="O126" s="616">
        <v>0</v>
      </c>
      <c r="P126" s="616">
        <v>0</v>
      </c>
      <c r="Q126" s="616">
        <v>52954</v>
      </c>
      <c r="R126" s="616">
        <v>494</v>
      </c>
      <c r="S126" s="616"/>
      <c r="T126" s="616">
        <v>10000</v>
      </c>
      <c r="U126" s="755">
        <v>26000</v>
      </c>
      <c r="V126" s="755">
        <v>22000</v>
      </c>
      <c r="W126" s="755">
        <v>14000</v>
      </c>
      <c r="X126" s="755">
        <v>7000</v>
      </c>
      <c r="Y126" s="755">
        <v>7000</v>
      </c>
      <c r="Z126" s="755">
        <v>9000</v>
      </c>
      <c r="AA126" s="755">
        <v>11000</v>
      </c>
      <c r="AB126" s="616">
        <v>16000</v>
      </c>
      <c r="AC126" s="1110"/>
      <c r="AD126" s="14"/>
    </row>
    <row r="127" spans="1:30">
      <c r="A127" s="34"/>
      <c r="B127" s="1111" t="s">
        <v>182</v>
      </c>
      <c r="C127" s="1111"/>
      <c r="D127" s="1111"/>
      <c r="E127" s="34"/>
      <c r="F127" s="702">
        <v>477911</v>
      </c>
      <c r="G127" s="702">
        <v>464554</v>
      </c>
      <c r="H127" s="702">
        <v>180444</v>
      </c>
      <c r="I127" s="702">
        <v>591498</v>
      </c>
      <c r="J127" s="702">
        <v>653178</v>
      </c>
      <c r="K127" s="702">
        <v>1176566</v>
      </c>
      <c r="L127" s="702">
        <v>1021825</v>
      </c>
      <c r="M127" s="736">
        <v>754649</v>
      </c>
      <c r="N127" s="702">
        <v>629707</v>
      </c>
      <c r="O127" s="702">
        <v>793226</v>
      </c>
      <c r="P127" s="702">
        <v>1128695</v>
      </c>
      <c r="Q127" s="702">
        <v>1323058</v>
      </c>
      <c r="R127" s="702">
        <v>1082110</v>
      </c>
      <c r="S127" s="702">
        <v>1202026</v>
      </c>
      <c r="T127" s="702">
        <v>699000</v>
      </c>
      <c r="U127" s="759">
        <v>1057000</v>
      </c>
      <c r="V127" s="759">
        <v>1219000</v>
      </c>
      <c r="W127" s="759">
        <v>1391000</v>
      </c>
      <c r="X127" s="759">
        <v>1158000</v>
      </c>
      <c r="Y127" s="759">
        <v>972000</v>
      </c>
      <c r="Z127" s="759">
        <v>969000</v>
      </c>
      <c r="AA127" s="759">
        <v>978000</v>
      </c>
      <c r="AB127" s="702">
        <v>693000</v>
      </c>
      <c r="AC127" s="1110"/>
    </row>
    <row r="128" spans="1:30">
      <c r="A128" s="34"/>
      <c r="B128" s="34"/>
      <c r="C128" s="34"/>
      <c r="D128" s="34"/>
      <c r="E128" s="34"/>
      <c r="F128" s="616">
        <v>482925</v>
      </c>
      <c r="G128" s="616">
        <v>493282</v>
      </c>
      <c r="H128" s="616">
        <v>246845</v>
      </c>
      <c r="I128" s="616">
        <v>683529</v>
      </c>
      <c r="J128" s="616">
        <v>792049</v>
      </c>
      <c r="K128" s="616">
        <v>1321826</v>
      </c>
      <c r="L128" s="616">
        <v>1200993</v>
      </c>
      <c r="M128" s="616">
        <v>1725608</v>
      </c>
      <c r="N128" s="616">
        <v>1961479</v>
      </c>
      <c r="O128" s="616">
        <v>2122704</v>
      </c>
      <c r="P128" s="616">
        <v>2429926</v>
      </c>
      <c r="Q128" s="616">
        <v>2935519</v>
      </c>
      <c r="R128" s="755">
        <v>2050184</v>
      </c>
      <c r="S128" s="755">
        <v>2155223</v>
      </c>
      <c r="T128" s="755">
        <v>1655000</v>
      </c>
      <c r="U128" s="755">
        <v>2071000</v>
      </c>
      <c r="V128" s="755">
        <v>2173000</v>
      </c>
      <c r="W128" s="755">
        <v>2301000</v>
      </c>
      <c r="X128" s="755">
        <v>2080000</v>
      </c>
      <c r="Y128" s="755">
        <v>1850000</v>
      </c>
      <c r="Z128" s="755">
        <v>1826000</v>
      </c>
      <c r="AA128" s="755">
        <v>1837000</v>
      </c>
      <c r="AB128" s="755">
        <v>1594000</v>
      </c>
      <c r="AC128" s="1110"/>
    </row>
    <row r="129" spans="1:29">
      <c r="A129" s="34"/>
      <c r="B129" s="34"/>
      <c r="C129" s="34"/>
      <c r="D129" s="34"/>
      <c r="E129" s="34"/>
      <c r="F129" s="616"/>
      <c r="G129" s="616"/>
      <c r="H129" s="616"/>
      <c r="I129" s="616"/>
      <c r="J129" s="616"/>
      <c r="K129" s="616"/>
      <c r="L129" s="616"/>
      <c r="M129" s="616"/>
      <c r="N129" s="616"/>
      <c r="O129" s="616"/>
      <c r="P129" s="616"/>
      <c r="Q129" s="616"/>
      <c r="R129" s="616"/>
      <c r="S129" s="616"/>
      <c r="T129" s="616"/>
      <c r="U129" s="616"/>
      <c r="V129" s="616"/>
      <c r="W129" s="616"/>
      <c r="X129" s="616"/>
      <c r="Y129" s="616"/>
      <c r="Z129" s="755"/>
      <c r="AA129" s="755"/>
      <c r="AB129" s="616"/>
      <c r="AC129" s="1110"/>
    </row>
    <row r="130" spans="1:29">
      <c r="A130" s="34"/>
      <c r="B130" s="34" t="s">
        <v>183</v>
      </c>
      <c r="C130" s="34"/>
      <c r="D130" s="34"/>
      <c r="E130" s="34"/>
      <c r="F130" s="616">
        <v>1600000</v>
      </c>
      <c r="G130" s="616">
        <v>1600000</v>
      </c>
      <c r="H130" s="616">
        <v>1600000</v>
      </c>
      <c r="I130" s="616">
        <v>1600000</v>
      </c>
      <c r="J130" s="616">
        <v>1600000</v>
      </c>
      <c r="K130" s="616">
        <v>1600000</v>
      </c>
      <c r="L130" s="616">
        <v>1600000</v>
      </c>
      <c r="M130" s="616">
        <v>1600000</v>
      </c>
      <c r="N130" s="616">
        <v>1600000</v>
      </c>
      <c r="O130" s="616">
        <v>1600000</v>
      </c>
      <c r="P130" s="616">
        <v>1600000</v>
      </c>
      <c r="Q130" s="616">
        <v>1600000</v>
      </c>
      <c r="R130" s="616">
        <v>1412860</v>
      </c>
      <c r="S130" s="616">
        <v>1534289</v>
      </c>
      <c r="T130" s="616">
        <v>1605000</v>
      </c>
      <c r="U130" s="616">
        <v>1605000</v>
      </c>
      <c r="V130" s="616">
        <v>1605000</v>
      </c>
      <c r="W130" s="616">
        <v>1515000</v>
      </c>
      <c r="X130" s="616">
        <v>1515000</v>
      </c>
      <c r="Y130" s="616">
        <v>1520000</v>
      </c>
      <c r="Z130" s="755">
        <v>1523000</v>
      </c>
      <c r="AA130" s="755">
        <v>1528000</v>
      </c>
      <c r="AB130" s="755">
        <v>1922000</v>
      </c>
      <c r="AC130" s="1110"/>
    </row>
    <row r="131" spans="1:29">
      <c r="A131" s="34"/>
      <c r="B131" s="34" t="s">
        <v>1160</v>
      </c>
      <c r="C131" s="34"/>
      <c r="D131" s="34"/>
      <c r="E131" s="34"/>
      <c r="F131" s="616">
        <v>0</v>
      </c>
      <c r="G131" s="616">
        <v>0</v>
      </c>
      <c r="H131" s="616">
        <v>0</v>
      </c>
      <c r="I131" s="616">
        <v>0</v>
      </c>
      <c r="J131" s="616">
        <v>0</v>
      </c>
      <c r="K131" s="616">
        <v>0</v>
      </c>
      <c r="L131" s="616">
        <v>0</v>
      </c>
      <c r="M131" s="616">
        <v>0</v>
      </c>
      <c r="N131" s="616">
        <v>0</v>
      </c>
      <c r="O131" s="616">
        <v>0</v>
      </c>
      <c r="P131" s="616">
        <v>0</v>
      </c>
      <c r="Q131" s="616">
        <v>0</v>
      </c>
      <c r="R131" s="616">
        <v>5364</v>
      </c>
      <c r="S131" s="616"/>
      <c r="T131" s="616">
        <v>11000</v>
      </c>
      <c r="U131" s="616">
        <v>14000</v>
      </c>
      <c r="V131" s="616">
        <v>15000</v>
      </c>
      <c r="W131" s="616">
        <v>7000</v>
      </c>
      <c r="X131" s="616">
        <v>8000</v>
      </c>
      <c r="Y131" s="616">
        <v>6000</v>
      </c>
      <c r="Z131" s="616">
        <v>10000</v>
      </c>
      <c r="AA131" s="755">
        <v>8000</v>
      </c>
      <c r="AB131" s="755">
        <v>8000</v>
      </c>
      <c r="AC131" s="1110"/>
    </row>
    <row r="132" spans="1:29">
      <c r="A132" s="34"/>
      <c r="B132" s="34" t="s">
        <v>185</v>
      </c>
      <c r="C132" s="34"/>
      <c r="D132" s="34"/>
      <c r="E132" s="34"/>
      <c r="F132" s="616">
        <v>0</v>
      </c>
      <c r="G132" s="616">
        <v>0</v>
      </c>
      <c r="H132" s="616">
        <v>1387</v>
      </c>
      <c r="I132" s="616">
        <v>-7570</v>
      </c>
      <c r="J132" s="616">
        <v>-2099</v>
      </c>
      <c r="K132" s="616">
        <v>-15627</v>
      </c>
      <c r="L132" s="616">
        <v>-17724</v>
      </c>
      <c r="M132" s="616">
        <v>6</v>
      </c>
      <c r="N132" s="616">
        <v>4</v>
      </c>
      <c r="O132" s="616">
        <v>85</v>
      </c>
      <c r="P132" s="616">
        <v>340</v>
      </c>
      <c r="Q132" s="616">
        <v>-2720</v>
      </c>
      <c r="R132" s="616"/>
      <c r="S132" s="616">
        <v>7862</v>
      </c>
      <c r="T132" s="616"/>
      <c r="U132" s="616"/>
      <c r="V132" s="616"/>
      <c r="W132" s="616"/>
      <c r="X132" s="616"/>
      <c r="Y132" s="616"/>
      <c r="Z132" s="616"/>
      <c r="AA132" s="616"/>
      <c r="AB132" s="616"/>
      <c r="AC132" s="1110"/>
    </row>
    <row r="133" spans="1:29">
      <c r="A133" s="34"/>
      <c r="B133" s="34" t="s">
        <v>1217</v>
      </c>
      <c r="C133" s="34"/>
      <c r="D133" s="34"/>
      <c r="E133" s="34"/>
      <c r="F133" s="616">
        <v>0</v>
      </c>
      <c r="G133" s="616">
        <v>0</v>
      </c>
      <c r="H133" s="616">
        <v>0</v>
      </c>
      <c r="I133" s="616">
        <v>0</v>
      </c>
      <c r="J133" s="616">
        <v>0</v>
      </c>
      <c r="K133" s="616">
        <v>0</v>
      </c>
      <c r="L133" s="616">
        <v>0</v>
      </c>
      <c r="M133" s="616">
        <v>14891</v>
      </c>
      <c r="N133" s="616">
        <v>2316</v>
      </c>
      <c r="O133" s="616">
        <v>-24352</v>
      </c>
      <c r="P133" s="616">
        <v>-5525</v>
      </c>
      <c r="Q133" s="616">
        <v>659</v>
      </c>
      <c r="R133" s="616">
        <v>420</v>
      </c>
      <c r="S133" s="616">
        <v>-8325</v>
      </c>
      <c r="T133" s="616">
        <v>4000</v>
      </c>
      <c r="U133" s="616">
        <v>-5000</v>
      </c>
      <c r="V133" s="616">
        <v>5000</v>
      </c>
      <c r="W133" s="616">
        <v>7000</v>
      </c>
      <c r="X133" s="616">
        <v>-8000</v>
      </c>
      <c r="Y133" s="616">
        <v>7000</v>
      </c>
      <c r="Z133" s="616">
        <v>-39000</v>
      </c>
      <c r="AA133" s="616">
        <v>-49000</v>
      </c>
      <c r="AB133" s="616">
        <v>-51000</v>
      </c>
      <c r="AC133" s="1110"/>
    </row>
    <row r="134" spans="1:29">
      <c r="A134" s="34"/>
      <c r="B134" s="34" t="s">
        <v>187</v>
      </c>
      <c r="C134" s="34"/>
      <c r="D134" s="34"/>
      <c r="E134" s="34"/>
      <c r="F134" s="616">
        <v>0</v>
      </c>
      <c r="G134" s="616">
        <v>0</v>
      </c>
      <c r="H134" s="616">
        <v>0</v>
      </c>
      <c r="I134" s="616">
        <v>0</v>
      </c>
      <c r="J134" s="616">
        <v>0</v>
      </c>
      <c r="K134" s="616">
        <v>0</v>
      </c>
      <c r="L134" s="616">
        <v>0</v>
      </c>
      <c r="M134" s="616">
        <v>1065</v>
      </c>
      <c r="N134" s="616">
        <v>1544</v>
      </c>
      <c r="O134" s="616">
        <v>-673</v>
      </c>
      <c r="P134" s="616">
        <v>380</v>
      </c>
      <c r="Q134" s="616">
        <v>387</v>
      </c>
      <c r="R134" s="616">
        <v>-37134</v>
      </c>
      <c r="S134" s="616"/>
      <c r="T134" s="616"/>
      <c r="U134" s="616"/>
      <c r="V134" s="616"/>
      <c r="W134" s="616"/>
      <c r="X134" s="616"/>
      <c r="Y134" s="616"/>
      <c r="Z134" s="616"/>
      <c r="AA134" s="616"/>
      <c r="AB134" s="616"/>
      <c r="AC134" s="1110"/>
    </row>
    <row r="135" spans="1:29">
      <c r="A135" s="34"/>
      <c r="B135" s="34" t="s">
        <v>188</v>
      </c>
      <c r="C135" s="34"/>
      <c r="D135" s="34"/>
      <c r="E135" s="34"/>
      <c r="F135" s="702">
        <v>-38645</v>
      </c>
      <c r="G135" s="702">
        <v>-4662</v>
      </c>
      <c r="H135" s="702">
        <v>-61041</v>
      </c>
      <c r="I135" s="702">
        <v>-7985</v>
      </c>
      <c r="J135" s="702">
        <v>24099</v>
      </c>
      <c r="K135" s="702">
        <v>139604</v>
      </c>
      <c r="L135" s="702">
        <v>209002</v>
      </c>
      <c r="M135" s="702">
        <v>169389</v>
      </c>
      <c r="N135" s="702">
        <v>39807</v>
      </c>
      <c r="O135" s="702">
        <v>-111560</v>
      </c>
      <c r="P135" s="702">
        <v>-50648</v>
      </c>
      <c r="Q135" s="702">
        <v>-215998</v>
      </c>
      <c r="R135" s="702">
        <v>1854100</v>
      </c>
      <c r="S135" s="702">
        <v>1883846</v>
      </c>
      <c r="T135" s="702">
        <v>1917000</v>
      </c>
      <c r="U135" s="702">
        <v>1968000</v>
      </c>
      <c r="V135" s="702">
        <v>1546000</v>
      </c>
      <c r="W135" s="702">
        <v>1294000</v>
      </c>
      <c r="X135" s="702">
        <v>1263000</v>
      </c>
      <c r="Y135" s="702">
        <v>1194000</v>
      </c>
      <c r="Z135" s="702">
        <v>1288000</v>
      </c>
      <c r="AA135" s="702">
        <v>1134000</v>
      </c>
      <c r="AB135" s="702">
        <v>1048000</v>
      </c>
      <c r="AC135" s="1110"/>
    </row>
    <row r="136" spans="1:29">
      <c r="A136" s="34"/>
      <c r="B136" s="34" t="s">
        <v>192</v>
      </c>
      <c r="C136" s="34"/>
      <c r="D136" s="34"/>
      <c r="E136" s="34"/>
      <c r="F136" s="616">
        <v>1561355</v>
      </c>
      <c r="G136" s="616">
        <v>1595338</v>
      </c>
      <c r="H136" s="616">
        <v>1540346</v>
      </c>
      <c r="I136" s="616">
        <v>1584445</v>
      </c>
      <c r="J136" s="616">
        <v>1622000</v>
      </c>
      <c r="K136" s="616">
        <v>1723977</v>
      </c>
      <c r="L136" s="616">
        <v>1791278</v>
      </c>
      <c r="M136" s="616">
        <v>1785351</v>
      </c>
      <c r="N136" s="616">
        <v>1643671</v>
      </c>
      <c r="O136" s="616">
        <v>1463500</v>
      </c>
      <c r="P136" s="616">
        <v>1544547</v>
      </c>
      <c r="Q136" s="616">
        <v>1382328</v>
      </c>
      <c r="R136" s="616">
        <v>3235610</v>
      </c>
      <c r="S136" s="616">
        <v>3417672</v>
      </c>
      <c r="T136" s="616">
        <v>3537000</v>
      </c>
      <c r="U136" s="616">
        <v>3582000</v>
      </c>
      <c r="V136" s="616">
        <v>3171000</v>
      </c>
      <c r="W136" s="616">
        <v>2823000</v>
      </c>
      <c r="X136" s="616">
        <v>2778000</v>
      </c>
      <c r="Y136" s="616">
        <v>2727000</v>
      </c>
      <c r="Z136" s="616">
        <v>2782000</v>
      </c>
      <c r="AA136" s="616">
        <v>2621000</v>
      </c>
      <c r="AB136" s="616">
        <v>2927000</v>
      </c>
      <c r="AC136" s="1110"/>
    </row>
    <row r="137" spans="1:29">
      <c r="A137" s="34"/>
      <c r="B137" s="34"/>
      <c r="C137" s="34"/>
      <c r="D137" s="1276" t="s">
        <v>1208</v>
      </c>
      <c r="E137" s="34"/>
      <c r="F137" s="616"/>
      <c r="G137" s="616"/>
      <c r="H137" s="616"/>
      <c r="I137" s="616"/>
      <c r="J137" s="616"/>
      <c r="K137" s="616"/>
      <c r="L137" s="616"/>
      <c r="M137" s="616"/>
      <c r="N137" s="616"/>
      <c r="O137" s="616"/>
      <c r="P137" s="616"/>
      <c r="Q137" s="616"/>
      <c r="R137" s="616">
        <v>-9</v>
      </c>
      <c r="S137" s="616">
        <v>464</v>
      </c>
      <c r="T137" s="616"/>
      <c r="U137" s="616"/>
      <c r="V137" s="616"/>
      <c r="W137" s="616"/>
      <c r="X137" s="616"/>
      <c r="Y137" s="616"/>
      <c r="Z137" s="616"/>
      <c r="AA137" s="616"/>
      <c r="AB137" s="616"/>
      <c r="AC137" s="1110"/>
    </row>
    <row r="138" spans="1:29" ht="13.5" thickBot="1">
      <c r="A138" s="34"/>
      <c r="B138" s="613" t="s">
        <v>165</v>
      </c>
      <c r="C138" s="34"/>
      <c r="D138" s="34"/>
      <c r="E138" s="34"/>
      <c r="F138" s="725" t="e">
        <v>#REF!</v>
      </c>
      <c r="G138" s="725" t="e">
        <v>#REF!</v>
      </c>
      <c r="H138" s="725" t="e">
        <v>#REF!</v>
      </c>
      <c r="I138" s="725" t="e">
        <v>#REF!</v>
      </c>
      <c r="J138" s="725" t="e">
        <v>#REF!</v>
      </c>
      <c r="K138" s="725" t="e">
        <v>#REF!</v>
      </c>
      <c r="L138" s="725" t="e">
        <v>#REF!</v>
      </c>
      <c r="M138" s="725" t="e">
        <v>#REF!</v>
      </c>
      <c r="N138" s="725" t="e">
        <v>#REF!</v>
      </c>
      <c r="O138" s="725" t="e">
        <v>#REF!</v>
      </c>
      <c r="P138" s="725" t="e">
        <v>#REF!</v>
      </c>
      <c r="Q138" s="725" t="e">
        <v>#REF!</v>
      </c>
      <c r="R138" s="725">
        <v>5643490</v>
      </c>
      <c r="S138" s="725">
        <v>6112392</v>
      </c>
      <c r="T138" s="725">
        <v>6197000</v>
      </c>
      <c r="U138" s="725">
        <v>6186000</v>
      </c>
      <c r="V138" s="725">
        <v>6089000</v>
      </c>
      <c r="W138" s="725">
        <v>5652000</v>
      </c>
      <c r="X138" s="725">
        <v>5455000</v>
      </c>
      <c r="Y138" s="725">
        <v>5311000</v>
      </c>
      <c r="Z138" s="725">
        <v>4954000</v>
      </c>
      <c r="AA138" s="725">
        <v>4896000</v>
      </c>
      <c r="AB138" s="725">
        <v>5028000</v>
      </c>
      <c r="AC138" s="1110"/>
    </row>
    <row r="139" spans="1:29" ht="13.5" thickTop="1">
      <c r="A139" s="43"/>
      <c r="B139" s="13"/>
      <c r="C139" s="4"/>
      <c r="D139" s="618" t="s">
        <v>93</v>
      </c>
      <c r="E139" s="618"/>
      <c r="F139" s="724" t="e">
        <v>#REF!</v>
      </c>
      <c r="G139" s="724" t="e">
        <v>#REF!</v>
      </c>
      <c r="H139" s="724" t="e">
        <v>#REF!</v>
      </c>
      <c r="I139" s="724" t="e">
        <v>#REF!</v>
      </c>
      <c r="J139" s="724" t="e">
        <v>#REF!</v>
      </c>
      <c r="K139" s="724" t="e">
        <v>#REF!</v>
      </c>
      <c r="L139" s="724" t="e">
        <v>#REF!</v>
      </c>
      <c r="M139" s="724" t="e">
        <v>#REF!</v>
      </c>
      <c r="N139" s="724" t="e">
        <v>#REF!</v>
      </c>
      <c r="O139" s="724" t="e">
        <v>#REF!</v>
      </c>
      <c r="P139" s="724" t="e">
        <v>#REF!</v>
      </c>
      <c r="Q139" s="724" t="e">
        <v>#REF!</v>
      </c>
      <c r="R139" s="724">
        <v>0</v>
      </c>
      <c r="S139" s="724">
        <v>0</v>
      </c>
      <c r="T139" s="702">
        <v>0</v>
      </c>
      <c r="U139" s="702">
        <v>0</v>
      </c>
      <c r="V139" s="702">
        <v>0</v>
      </c>
      <c r="W139" s="702">
        <v>0</v>
      </c>
      <c r="X139" s="702">
        <v>0</v>
      </c>
      <c r="Y139" s="702">
        <v>0</v>
      </c>
      <c r="Z139" s="702">
        <v>0</v>
      </c>
      <c r="AA139" s="702">
        <v>0</v>
      </c>
      <c r="AB139" s="702">
        <v>0</v>
      </c>
      <c r="AC139" s="1110"/>
    </row>
    <row r="141" spans="1:29">
      <c r="S141" s="14"/>
    </row>
    <row r="142" spans="1:29">
      <c r="S142" s="14"/>
    </row>
    <row r="143" spans="1:29">
      <c r="S143" s="14"/>
    </row>
    <row r="144" spans="1:29">
      <c r="S144" s="14"/>
    </row>
  </sheetData>
  <mergeCells count="15">
    <mergeCell ref="A1:D1"/>
    <mergeCell ref="V39:AA39"/>
    <mergeCell ref="E39:G39"/>
    <mergeCell ref="A39:D39"/>
    <mergeCell ref="E1:S1"/>
    <mergeCell ref="W1:AA1"/>
    <mergeCell ref="T1:U1"/>
    <mergeCell ref="E67:H67"/>
    <mergeCell ref="R67:S67"/>
    <mergeCell ref="W67:AA67"/>
    <mergeCell ref="A70:D70"/>
    <mergeCell ref="E110:H110"/>
    <mergeCell ref="I110:K110"/>
    <mergeCell ref="L110:N110"/>
    <mergeCell ref="W110:AA110"/>
  </mergeCells>
  <printOptions headings="1" gridLines="1"/>
  <pageMargins left="0.70866141732283472" right="0.70866141732283472" top="0.74803149606299213" bottom="0.74803149606299213" header="0.31496062992125984" footer="0.31496062992125984"/>
  <pageSetup paperSize="9" scale="58" fitToHeight="0" orientation="portrait" r:id="rId1"/>
  <rowBreaks count="1" manualBreakCount="1">
    <brk id="66" max="2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E288-8597-48FD-B3C1-A10B3151EE20}">
  <sheetPr>
    <pageSetUpPr fitToPage="1"/>
  </sheetPr>
  <dimension ref="A1:AF312"/>
  <sheetViews>
    <sheetView view="pageBreakPreview" zoomScale="90" zoomScaleNormal="89" zoomScaleSheetLayoutView="90" workbookViewId="0">
      <selection sqref="A1:D1"/>
    </sheetView>
  </sheetViews>
  <sheetFormatPr defaultRowHeight="12.75"/>
  <cols>
    <col min="1" max="1" width="5.140625" customWidth="1"/>
    <col min="2" max="2" width="9" customWidth="1"/>
    <col min="4" max="4" width="6.85546875" customWidth="1"/>
    <col min="5" max="5" width="5.28515625" customWidth="1"/>
    <col min="6" max="16" width="0" hidden="1" customWidth="1"/>
    <col min="17" max="28" width="11.85546875" customWidth="1"/>
    <col min="29" max="29" width="4.28515625" customWidth="1"/>
  </cols>
  <sheetData>
    <row r="1" spans="1:32" ht="26.25">
      <c r="A1" s="1533" t="s">
        <v>0</v>
      </c>
      <c r="B1" s="1541"/>
      <c r="C1" s="1541"/>
      <c r="D1" s="1534"/>
      <c r="E1" s="1278"/>
      <c r="F1" s="1279"/>
      <c r="G1" s="1279"/>
      <c r="H1" s="1041"/>
      <c r="I1" s="1280"/>
      <c r="J1" s="1280"/>
      <c r="K1" s="25"/>
      <c r="L1" s="25"/>
      <c r="M1" s="990"/>
      <c r="N1" s="990"/>
      <c r="O1" s="718"/>
      <c r="P1" s="991"/>
      <c r="Q1" s="1576"/>
      <c r="R1" s="1576"/>
      <c r="S1" s="1576"/>
      <c r="T1" s="1490"/>
      <c r="U1" s="1551"/>
      <c r="V1" s="1551"/>
      <c r="W1" s="1585" t="s">
        <v>1288</v>
      </c>
      <c r="X1" s="1585"/>
      <c r="Y1" s="1585"/>
      <c r="Z1" s="1585"/>
      <c r="AA1" s="1586"/>
      <c r="AB1" s="1083">
        <v>6.1</v>
      </c>
      <c r="AC1" s="684"/>
      <c r="AD1" s="684"/>
      <c r="AE1" s="684"/>
    </row>
    <row r="2" spans="1:32" ht="15.75">
      <c r="A2" s="1281" t="s">
        <v>434</v>
      </c>
      <c r="B2" s="747"/>
      <c r="C2" s="748"/>
      <c r="D2" s="749"/>
      <c r="E2" s="34"/>
      <c r="F2" s="34">
        <v>0</v>
      </c>
      <c r="G2" s="34">
        <v>1</v>
      </c>
      <c r="H2" s="34">
        <v>2</v>
      </c>
      <c r="I2" s="34">
        <v>3</v>
      </c>
      <c r="J2" s="34">
        <v>4</v>
      </c>
      <c r="K2" s="34">
        <v>5</v>
      </c>
      <c r="L2" s="34">
        <v>6</v>
      </c>
      <c r="M2" s="34">
        <v>7</v>
      </c>
      <c r="N2" s="34">
        <v>8</v>
      </c>
      <c r="O2" s="34">
        <v>9</v>
      </c>
      <c r="P2" s="34">
        <v>10</v>
      </c>
      <c r="Q2" s="34"/>
      <c r="R2" s="34">
        <v>0</v>
      </c>
      <c r="S2" s="34">
        <v>1</v>
      </c>
      <c r="T2" s="34">
        <v>2</v>
      </c>
      <c r="U2" s="34">
        <v>3</v>
      </c>
      <c r="V2" s="34">
        <v>4</v>
      </c>
      <c r="W2" s="34">
        <v>5</v>
      </c>
      <c r="X2" s="34">
        <v>6</v>
      </c>
      <c r="Y2" s="34">
        <v>7</v>
      </c>
      <c r="Z2" s="34">
        <v>8</v>
      </c>
      <c r="AA2" s="34">
        <v>9</v>
      </c>
      <c r="AB2" s="34">
        <v>10</v>
      </c>
      <c r="AC2" s="34"/>
      <c r="AD2" s="34"/>
      <c r="AE2" s="34"/>
      <c r="AF2" s="34"/>
    </row>
    <row r="3" spans="1:32">
      <c r="B3" s="6"/>
      <c r="C3" s="983"/>
      <c r="D3" s="1276" t="s">
        <v>43</v>
      </c>
      <c r="E3" s="1276" t="s">
        <v>44</v>
      </c>
      <c r="F3" s="980">
        <v>1999</v>
      </c>
      <c r="G3" s="980">
        <v>2000</v>
      </c>
      <c r="H3" s="980">
        <v>2001</v>
      </c>
      <c r="I3" s="980">
        <v>2002</v>
      </c>
      <c r="J3" s="980">
        <v>2003</v>
      </c>
      <c r="K3" s="980">
        <v>2004</v>
      </c>
      <c r="L3" s="980">
        <v>2005</v>
      </c>
      <c r="M3" s="980">
        <v>2006</v>
      </c>
      <c r="N3" s="980">
        <v>2007</v>
      </c>
      <c r="O3" s="980">
        <v>2008</v>
      </c>
      <c r="P3" s="980">
        <v>2009</v>
      </c>
      <c r="Q3" s="980">
        <v>2010</v>
      </c>
      <c r="R3" s="980">
        <v>2011</v>
      </c>
      <c r="S3" s="980">
        <v>2012</v>
      </c>
      <c r="T3" s="980">
        <v>2013</v>
      </c>
      <c r="U3" s="980">
        <v>2014</v>
      </c>
      <c r="V3" s="980">
        <v>2015</v>
      </c>
      <c r="W3" s="980">
        <v>2016</v>
      </c>
      <c r="X3" s="980">
        <v>2017</v>
      </c>
      <c r="Y3" s="980">
        <v>2018</v>
      </c>
      <c r="Z3" s="980">
        <v>2019</v>
      </c>
      <c r="AA3" s="980">
        <v>2020</v>
      </c>
      <c r="AB3" s="980">
        <v>2021</v>
      </c>
      <c r="AC3" s="34"/>
      <c r="AD3" s="34"/>
      <c r="AE3" s="34"/>
      <c r="AF3" s="34"/>
    </row>
    <row r="4" spans="1:32" ht="15.75">
      <c r="A4" s="630" t="s">
        <v>435</v>
      </c>
      <c r="B4" s="1337"/>
      <c r="C4" s="1337"/>
      <c r="D4" s="1338"/>
      <c r="E4" s="1276"/>
      <c r="F4" s="980"/>
      <c r="G4" s="980"/>
      <c r="H4" s="980"/>
      <c r="I4" s="980"/>
      <c r="J4" s="980"/>
      <c r="K4" s="980"/>
      <c r="L4" s="980"/>
      <c r="M4" s="980"/>
      <c r="N4" s="980"/>
      <c r="O4" s="980"/>
      <c r="P4" s="980"/>
      <c r="Q4" s="1127"/>
      <c r="R4" s="1127"/>
      <c r="S4" s="1127"/>
      <c r="T4" s="1127"/>
      <c r="U4" s="1127"/>
      <c r="V4" s="1127"/>
      <c r="W4" s="1127"/>
      <c r="X4" s="1127"/>
      <c r="Y4" s="1127"/>
      <c r="Z4" s="1127"/>
      <c r="AA4" s="1127"/>
      <c r="AB4" s="1127"/>
      <c r="AC4" s="34"/>
      <c r="AD4" s="34"/>
      <c r="AE4" s="34"/>
      <c r="AF4" s="34"/>
    </row>
    <row r="5" spans="1:32">
      <c r="A5" s="1336"/>
      <c r="B5" s="6"/>
      <c r="C5" s="983"/>
      <c r="D5" s="1276"/>
      <c r="E5" s="1276"/>
      <c r="F5" s="980"/>
      <c r="G5" s="980"/>
      <c r="H5" s="980"/>
      <c r="I5" s="980"/>
      <c r="J5" s="980"/>
      <c r="K5" s="980"/>
      <c r="L5" s="980"/>
      <c r="M5" s="980"/>
      <c r="N5" s="980"/>
      <c r="O5" s="980"/>
      <c r="P5" s="980"/>
      <c r="Q5" s="1127"/>
      <c r="R5" s="1127"/>
      <c r="S5" s="1127"/>
      <c r="T5" s="1127"/>
      <c r="U5" s="1127"/>
      <c r="V5" s="1127"/>
      <c r="W5" s="1127"/>
      <c r="X5" s="1127"/>
      <c r="Y5" s="1127"/>
      <c r="Z5" s="1127"/>
      <c r="AA5" s="1127"/>
      <c r="AB5" s="1127"/>
      <c r="AC5" s="34"/>
      <c r="AD5" s="34"/>
      <c r="AE5" s="34"/>
      <c r="AF5" s="34"/>
    </row>
    <row r="6" spans="1:32">
      <c r="A6" s="1339" t="s">
        <v>1365</v>
      </c>
      <c r="B6" s="802"/>
      <c r="C6" s="802"/>
      <c r="D6" s="803"/>
      <c r="E6" s="34"/>
      <c r="F6" s="34"/>
      <c r="G6" s="1282"/>
      <c r="H6" s="1283"/>
      <c r="I6" s="631"/>
      <c r="J6" s="631"/>
      <c r="K6" s="631"/>
      <c r="L6" s="760"/>
      <c r="M6" s="631"/>
      <c r="N6" s="631"/>
      <c r="O6" s="631"/>
      <c r="P6" s="1283"/>
      <c r="Q6" s="1283"/>
      <c r="R6" s="1283"/>
      <c r="S6" s="1283"/>
      <c r="T6" s="1283"/>
      <c r="U6" s="34"/>
      <c r="V6" s="34"/>
      <c r="W6" s="34"/>
      <c r="X6" s="34"/>
      <c r="Y6" s="34"/>
      <c r="Z6" s="34"/>
      <c r="AA6" s="34"/>
      <c r="AB6" s="34"/>
      <c r="AC6" s="34"/>
      <c r="AD6" s="1284"/>
      <c r="AE6" s="1285"/>
      <c r="AF6" s="34"/>
    </row>
    <row r="7" spans="1:32">
      <c r="A7" s="34"/>
      <c r="B7" s="34" t="s">
        <v>1289</v>
      </c>
      <c r="C7" s="34"/>
      <c r="D7" s="1276" t="s">
        <v>1290</v>
      </c>
      <c r="E7" s="1276" t="s">
        <v>431</v>
      </c>
      <c r="F7" s="1286">
        <v>6.6</v>
      </c>
      <c r="G7" s="1286">
        <v>6.5148000000000001</v>
      </c>
      <c r="H7" s="1286">
        <v>6.8486000000000002</v>
      </c>
      <c r="I7" s="1286">
        <v>6.6319999999999997</v>
      </c>
      <c r="J7" s="1286">
        <v>6.64</v>
      </c>
      <c r="K7" s="1286">
        <v>5.2308000000000003</v>
      </c>
      <c r="L7" s="1286">
        <v>6.2876000000000003</v>
      </c>
      <c r="M7" s="1286">
        <v>5.7110000000000003</v>
      </c>
      <c r="N7" s="1286">
        <v>5.8376000000000001</v>
      </c>
      <c r="O7" s="1286">
        <v>6.7169999999999996</v>
      </c>
      <c r="P7" s="1286">
        <v>6.4153000000000002</v>
      </c>
      <c r="Q7" s="1286">
        <v>5.97</v>
      </c>
      <c r="R7" s="1286">
        <v>5.5140000000000002</v>
      </c>
      <c r="S7" s="1286">
        <v>5.04</v>
      </c>
      <c r="T7" s="1286">
        <v>3.4</v>
      </c>
      <c r="U7" s="1286">
        <v>3.83</v>
      </c>
      <c r="V7" s="1286">
        <v>4.42</v>
      </c>
      <c r="W7" s="1286">
        <v>3.77</v>
      </c>
      <c r="X7" s="1286">
        <v>2.5099999999999998</v>
      </c>
      <c r="Y7" s="1286">
        <v>2.77</v>
      </c>
      <c r="Z7" s="1286">
        <v>2.9</v>
      </c>
      <c r="AA7" s="1286">
        <v>1.63</v>
      </c>
      <c r="AB7" s="1286">
        <v>0.9</v>
      </c>
      <c r="AC7" s="34"/>
      <c r="AD7" s="1284"/>
      <c r="AE7" s="1285"/>
      <c r="AF7" s="34"/>
    </row>
    <row r="8" spans="1:32">
      <c r="A8" s="34"/>
      <c r="B8" s="34"/>
      <c r="C8" s="34"/>
      <c r="D8" s="1276" t="s">
        <v>1291</v>
      </c>
      <c r="E8" s="1276" t="s">
        <v>431</v>
      </c>
      <c r="F8" s="1287">
        <v>6.5148000000000001</v>
      </c>
      <c r="G8" s="1287">
        <v>6.8486000000000002</v>
      </c>
      <c r="H8" s="1287">
        <v>6.6319999999999997</v>
      </c>
      <c r="I8" s="1287">
        <v>6.64</v>
      </c>
      <c r="J8" s="1287">
        <v>5.2308000000000003</v>
      </c>
      <c r="K8" s="1287">
        <v>6.2876000000000003</v>
      </c>
      <c r="L8" s="1287">
        <v>5.7110000000000003</v>
      </c>
      <c r="M8" s="1287">
        <v>5.8376000000000001</v>
      </c>
      <c r="N8" s="1287">
        <v>6.7169999999999996</v>
      </c>
      <c r="O8" s="1287">
        <v>6.4153000000000002</v>
      </c>
      <c r="P8" s="1287">
        <v>5.97</v>
      </c>
      <c r="Q8" s="1287">
        <v>5.5140000000000002</v>
      </c>
      <c r="R8" s="1287">
        <v>5.04</v>
      </c>
      <c r="S8" s="1287">
        <v>3.4</v>
      </c>
      <c r="T8" s="1287">
        <v>3.83</v>
      </c>
      <c r="U8" s="1287">
        <v>4.42</v>
      </c>
      <c r="V8" s="1287">
        <v>3.77</v>
      </c>
      <c r="W8" s="1287">
        <v>2.5099999999999998</v>
      </c>
      <c r="X8" s="1287">
        <v>2.77</v>
      </c>
      <c r="Y8" s="1287">
        <v>2.9</v>
      </c>
      <c r="Z8" s="1287">
        <v>1.63</v>
      </c>
      <c r="AA8" s="1287">
        <v>0.9</v>
      </c>
      <c r="AB8" s="1287">
        <v>1.76</v>
      </c>
      <c r="AC8" s="34"/>
      <c r="AD8" s="1284"/>
      <c r="AE8" s="1285"/>
      <c r="AF8" s="34"/>
    </row>
    <row r="9" spans="1:32">
      <c r="A9" s="34"/>
      <c r="B9" s="1598" t="s">
        <v>1357</v>
      </c>
      <c r="C9" s="1598"/>
      <c r="D9" s="1276" t="s">
        <v>432</v>
      </c>
      <c r="E9" s="1276" t="s">
        <v>431</v>
      </c>
      <c r="F9" s="1288">
        <v>6.5573999999999995</v>
      </c>
      <c r="G9" s="1288">
        <v>6.6817000000000002</v>
      </c>
      <c r="H9" s="1288">
        <v>6.7402999999999995</v>
      </c>
      <c r="I9" s="1288">
        <v>6.6359999999999992</v>
      </c>
      <c r="J9" s="1288">
        <v>5.9353999999999996</v>
      </c>
      <c r="K9" s="1288">
        <v>5.7591999999999999</v>
      </c>
      <c r="L9" s="1288">
        <v>5.9992999999999999</v>
      </c>
      <c r="M9" s="1288">
        <v>5.7743000000000002</v>
      </c>
      <c r="N9" s="1288">
        <v>6.2773000000000003</v>
      </c>
      <c r="O9" s="1288">
        <v>6.5661500000000004</v>
      </c>
      <c r="P9" s="1288">
        <v>6.1926500000000004</v>
      </c>
      <c r="Q9" s="1288">
        <v>5.742</v>
      </c>
      <c r="R9" s="1288">
        <v>5.2770000000000001</v>
      </c>
      <c r="S9" s="1288">
        <v>4.22</v>
      </c>
      <c r="T9" s="1288">
        <v>3.6150000000000002</v>
      </c>
      <c r="U9" s="1288">
        <v>4.125</v>
      </c>
      <c r="V9" s="1288">
        <v>4.0949999999999998</v>
      </c>
      <c r="W9" s="1288">
        <v>3.1399999999999997</v>
      </c>
      <c r="X9" s="1288">
        <v>2.6399999999999997</v>
      </c>
      <c r="Y9" s="1288">
        <v>2.835</v>
      </c>
      <c r="Z9" s="1288">
        <v>2.2649999999999997</v>
      </c>
      <c r="AA9" s="1288">
        <v>1.2649999999999999</v>
      </c>
      <c r="AB9" s="1288">
        <v>1.33</v>
      </c>
      <c r="AC9" s="34"/>
      <c r="AD9" s="1284"/>
      <c r="AE9" s="1285"/>
      <c r="AF9" s="34"/>
    </row>
    <row r="10" spans="1:32">
      <c r="A10" s="34"/>
      <c r="B10" s="1530"/>
      <c r="C10" s="1530"/>
      <c r="D10" s="1276"/>
      <c r="E10" s="34"/>
      <c r="F10" s="690"/>
      <c r="G10" s="690"/>
      <c r="H10" s="690"/>
      <c r="I10" s="690"/>
      <c r="J10" s="690"/>
      <c r="K10" s="690"/>
      <c r="L10" s="690"/>
      <c r="M10" s="690"/>
      <c r="N10" s="690"/>
      <c r="O10" s="690"/>
      <c r="P10" s="690"/>
      <c r="Q10" s="690"/>
      <c r="R10" s="690"/>
      <c r="S10" s="690"/>
      <c r="T10" s="690"/>
      <c r="U10" s="690"/>
      <c r="V10" s="690"/>
      <c r="W10" s="690"/>
      <c r="X10" s="690"/>
      <c r="Y10" s="690"/>
      <c r="Z10" s="690"/>
      <c r="AA10" s="690"/>
      <c r="AB10" s="34"/>
      <c r="AC10" s="34"/>
      <c r="AD10" s="1284"/>
      <c r="AE10" s="1285"/>
      <c r="AF10" s="34"/>
    </row>
    <row r="11" spans="1:32">
      <c r="A11" s="34"/>
      <c r="B11" s="1505" t="s">
        <v>1292</v>
      </c>
      <c r="C11" s="1505"/>
      <c r="D11" s="1289"/>
      <c r="E11" s="34"/>
      <c r="F11" s="1277">
        <v>6.5573999999999993E-2</v>
      </c>
      <c r="G11" s="1277">
        <v>6.6195500000000004E-2</v>
      </c>
      <c r="H11" s="1277">
        <v>6.6597999999999991E-2</v>
      </c>
      <c r="I11" s="1277">
        <v>6.6860000000000003E-2</v>
      </c>
      <c r="J11" s="1277">
        <v>6.4372333333333323E-2</v>
      </c>
      <c r="K11" s="1277">
        <v>6.110199999999999E-2</v>
      </c>
      <c r="L11" s="1277">
        <v>5.8979666666666659E-2</v>
      </c>
      <c r="M11" s="1277">
        <v>5.8442666666666671E-2</v>
      </c>
      <c r="N11" s="1277">
        <v>6.0169666666666656E-2</v>
      </c>
      <c r="O11" s="1277">
        <v>6.2059166666666672E-2</v>
      </c>
      <c r="P11" s="1277">
        <v>6.3453666666666672E-2</v>
      </c>
      <c r="Q11" s="1439">
        <v>6.1669333333333333E-2</v>
      </c>
      <c r="R11" s="1439">
        <v>5.7372166666666675E-2</v>
      </c>
      <c r="S11" s="1439">
        <v>5.0796666666666671E-2</v>
      </c>
      <c r="T11" s="1439">
        <v>4.3706666666666665E-2</v>
      </c>
      <c r="U11" s="1439">
        <v>3.9866666666666668E-2</v>
      </c>
      <c r="V11" s="1439">
        <v>3.9450000000000006E-2</v>
      </c>
      <c r="W11" s="1439">
        <v>3.7866666666666667E-2</v>
      </c>
      <c r="X11" s="1439">
        <v>3.2916666666666664E-2</v>
      </c>
      <c r="Y11" s="1439">
        <v>2.8716666666666661E-2</v>
      </c>
      <c r="Z11" s="1439">
        <v>2.5799999999999997E-2</v>
      </c>
      <c r="AA11" s="1439">
        <v>2.1216666666666665E-2</v>
      </c>
      <c r="AB11" s="1439">
        <v>1.6199999999999999E-2</v>
      </c>
      <c r="AC11" s="34"/>
      <c r="AD11" s="1284"/>
      <c r="AE11" s="1285"/>
      <c r="AF11" s="34"/>
    </row>
    <row r="12" spans="1:32">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1435"/>
      <c r="B13" s="1438" t="s">
        <v>1293</v>
      </c>
      <c r="C13" s="1436"/>
      <c r="D13" s="1436"/>
      <c r="E13" s="714"/>
      <c r="F13" s="805">
        <v>0.02</v>
      </c>
      <c r="G13" s="805">
        <v>0.02</v>
      </c>
      <c r="H13" s="805">
        <v>0.02</v>
      </c>
      <c r="I13" s="805">
        <v>0.02</v>
      </c>
      <c r="J13" s="805">
        <v>0.02</v>
      </c>
      <c r="K13" s="805">
        <v>0.02</v>
      </c>
      <c r="L13" s="805">
        <v>0.02</v>
      </c>
      <c r="M13" s="805">
        <v>0.02</v>
      </c>
      <c r="N13" s="805">
        <v>0.02</v>
      </c>
      <c r="O13" s="805">
        <v>0.02</v>
      </c>
      <c r="P13" s="805">
        <v>0.02</v>
      </c>
      <c r="Q13" s="805">
        <v>0.02</v>
      </c>
      <c r="R13" s="805">
        <v>0.02</v>
      </c>
      <c r="S13" s="805">
        <v>0.02</v>
      </c>
      <c r="T13" s="805">
        <v>0.02</v>
      </c>
      <c r="U13" s="805">
        <v>0.02</v>
      </c>
      <c r="V13" s="805">
        <v>0.02</v>
      </c>
      <c r="W13" s="805">
        <v>0.02</v>
      </c>
      <c r="X13" s="805">
        <v>0.02</v>
      </c>
      <c r="Y13" s="805">
        <v>0.02</v>
      </c>
      <c r="Z13" s="805">
        <v>0.02</v>
      </c>
      <c r="AA13" s="805">
        <v>0.02</v>
      </c>
      <c r="AB13" s="805">
        <v>0.02</v>
      </c>
      <c r="AC13" s="34"/>
      <c r="AD13" s="34"/>
      <c r="AF13" s="34"/>
    </row>
    <row r="14" spans="1:32">
      <c r="A14" s="1435"/>
      <c r="B14" s="1437"/>
      <c r="C14" s="1126"/>
      <c r="D14" s="1126"/>
      <c r="E14" s="34"/>
      <c r="F14" s="34"/>
      <c r="G14" s="249"/>
      <c r="H14" s="249"/>
      <c r="I14" s="249"/>
      <c r="J14" s="249"/>
      <c r="K14" s="249"/>
      <c r="L14" s="249"/>
      <c r="M14" s="249"/>
      <c r="N14" s="249"/>
      <c r="O14" s="249"/>
      <c r="P14" s="249"/>
      <c r="Q14" s="249"/>
      <c r="R14" s="249"/>
      <c r="S14" s="249"/>
      <c r="T14" s="249"/>
      <c r="U14" s="34"/>
      <c r="V14" s="34"/>
      <c r="W14" s="34"/>
      <c r="X14" s="34"/>
      <c r="Y14" s="34"/>
      <c r="Z14" s="34"/>
      <c r="AA14" s="34"/>
      <c r="AB14" s="34"/>
      <c r="AC14" s="34"/>
      <c r="AD14" s="34"/>
      <c r="AF14" s="34"/>
    </row>
    <row r="15" spans="1:32">
      <c r="A15" s="1435"/>
      <c r="B15" s="1438" t="s">
        <v>1294</v>
      </c>
      <c r="C15" s="1436"/>
      <c r="D15" s="1436"/>
      <c r="E15" s="714"/>
      <c r="F15" s="249">
        <v>0.3</v>
      </c>
      <c r="G15" s="249">
        <v>0.3</v>
      </c>
      <c r="H15" s="249">
        <v>0.3</v>
      </c>
      <c r="I15" s="249">
        <v>0.3</v>
      </c>
      <c r="J15" s="249">
        <v>0.3</v>
      </c>
      <c r="K15" s="249">
        <v>0.3</v>
      </c>
      <c r="L15" s="249">
        <v>0.3</v>
      </c>
      <c r="M15" s="249">
        <v>0.3</v>
      </c>
      <c r="N15" s="249">
        <v>0.3</v>
      </c>
      <c r="O15" s="249">
        <v>0.3</v>
      </c>
      <c r="P15" s="249">
        <v>0.3</v>
      </c>
      <c r="Q15" s="249">
        <v>0.3</v>
      </c>
      <c r="R15" s="249">
        <v>0.3</v>
      </c>
      <c r="S15" s="249">
        <v>0.3</v>
      </c>
      <c r="T15" s="249">
        <v>0.3</v>
      </c>
      <c r="U15" s="249">
        <v>0.3</v>
      </c>
      <c r="V15" s="249">
        <v>0.3</v>
      </c>
      <c r="W15" s="249">
        <v>0.3</v>
      </c>
      <c r="X15" s="249">
        <v>0.3</v>
      </c>
      <c r="Y15" s="249">
        <v>0.3</v>
      </c>
      <c r="Z15" s="249">
        <v>0.3</v>
      </c>
      <c r="AA15" s="249">
        <v>0.3</v>
      </c>
      <c r="AB15" s="249">
        <v>0.3</v>
      </c>
      <c r="AC15" s="34"/>
      <c r="AD15" s="34"/>
      <c r="AF15" s="34"/>
    </row>
    <row r="16" spans="1:32">
      <c r="A16" s="1435"/>
      <c r="B16" s="1437"/>
      <c r="C16" s="1126"/>
      <c r="D16" s="1126"/>
      <c r="E16" s="34"/>
      <c r="F16" s="34"/>
      <c r="G16" s="249"/>
      <c r="H16" s="249"/>
      <c r="I16" s="249"/>
      <c r="J16" s="249"/>
      <c r="K16" s="249"/>
      <c r="L16" s="249"/>
      <c r="M16" s="249"/>
      <c r="N16" s="249"/>
      <c r="O16" s="249"/>
      <c r="P16" s="249"/>
      <c r="Q16" s="249"/>
      <c r="R16" s="249"/>
      <c r="S16" s="249"/>
      <c r="T16" s="249"/>
      <c r="U16" s="34"/>
      <c r="V16" s="34"/>
      <c r="W16" s="34"/>
      <c r="X16" s="34"/>
      <c r="Y16" s="34"/>
      <c r="Z16" s="34"/>
      <c r="AA16" s="34"/>
      <c r="AB16" s="34"/>
      <c r="AC16" s="34"/>
      <c r="AD16" s="34"/>
      <c r="AF16" s="34"/>
    </row>
    <row r="17" spans="1:32">
      <c r="A17" s="1435"/>
      <c r="B17" s="1438" t="s">
        <v>1295</v>
      </c>
      <c r="C17" s="1436"/>
      <c r="D17" s="1436"/>
      <c r="E17" s="714"/>
      <c r="F17" s="249">
        <v>0.33</v>
      </c>
      <c r="G17" s="249">
        <v>0.33</v>
      </c>
      <c r="H17" s="249">
        <v>0.33</v>
      </c>
      <c r="I17" s="249">
        <v>0.33</v>
      </c>
      <c r="J17" s="249">
        <v>0.33</v>
      </c>
      <c r="K17" s="249">
        <v>0.33</v>
      </c>
      <c r="L17" s="249">
        <v>0.33</v>
      </c>
      <c r="M17" s="249">
        <v>0.33</v>
      </c>
      <c r="N17" s="249">
        <v>0.33</v>
      </c>
      <c r="O17" s="249">
        <v>0.33</v>
      </c>
      <c r="P17" s="249">
        <v>0.3</v>
      </c>
      <c r="Q17" s="249">
        <v>0</v>
      </c>
      <c r="R17" s="249">
        <v>0.3</v>
      </c>
      <c r="S17" s="249">
        <v>0.28000000000000003</v>
      </c>
      <c r="T17" s="249">
        <v>0.28000000000000003</v>
      </c>
      <c r="U17" s="249">
        <v>0.28000000000000003</v>
      </c>
      <c r="V17" s="249">
        <v>0.28000000000000003</v>
      </c>
      <c r="W17" s="249">
        <v>0.28000000000000003</v>
      </c>
      <c r="X17" s="249">
        <v>0.28000000000000003</v>
      </c>
      <c r="Y17" s="249">
        <v>0.28000000000000003</v>
      </c>
      <c r="Z17" s="249">
        <v>0.28000000000000003</v>
      </c>
      <c r="AA17" s="249">
        <v>0.28000000000000003</v>
      </c>
      <c r="AB17" s="249">
        <v>0.28000000000000003</v>
      </c>
      <c r="AC17" s="34"/>
      <c r="AD17" s="34"/>
      <c r="AF17" s="34"/>
    </row>
    <row r="18" spans="1:32">
      <c r="A18" s="1435"/>
      <c r="B18" s="1437"/>
      <c r="C18" s="1126"/>
      <c r="D18" s="1126"/>
      <c r="E18" s="34"/>
      <c r="F18" s="34"/>
      <c r="G18" s="793"/>
      <c r="H18" s="793"/>
      <c r="I18" s="793"/>
      <c r="J18" s="793"/>
      <c r="K18" s="793"/>
      <c r="L18" s="793"/>
      <c r="M18" s="793"/>
      <c r="N18" s="793"/>
      <c r="O18" s="793"/>
      <c r="P18" s="793"/>
      <c r="Q18" s="793"/>
      <c r="R18" s="793"/>
      <c r="S18" s="793"/>
      <c r="T18" s="793"/>
      <c r="U18" s="34"/>
      <c r="V18" s="34"/>
      <c r="W18" s="34"/>
      <c r="X18" s="34"/>
      <c r="Y18" s="34"/>
      <c r="Z18" s="34"/>
      <c r="AA18" s="34"/>
      <c r="AB18" s="34"/>
      <c r="AC18" s="34"/>
      <c r="AD18" s="34"/>
      <c r="AF18" s="34"/>
    </row>
    <row r="19" spans="1:32">
      <c r="A19" s="1435"/>
      <c r="B19" s="1438" t="s">
        <v>1296</v>
      </c>
      <c r="C19" s="1436"/>
      <c r="D19" s="1436"/>
      <c r="E19" s="714"/>
      <c r="F19" s="34">
        <v>0.6</v>
      </c>
      <c r="G19" s="34">
        <v>0.6</v>
      </c>
      <c r="H19" s="34">
        <v>0.6</v>
      </c>
      <c r="I19" s="34">
        <v>0.6</v>
      </c>
      <c r="J19" s="34">
        <v>0.6</v>
      </c>
      <c r="K19" s="34">
        <v>0.6</v>
      </c>
      <c r="L19" s="34">
        <v>0.6</v>
      </c>
      <c r="M19" s="34">
        <v>0.6</v>
      </c>
      <c r="N19" s="34">
        <v>0.6</v>
      </c>
      <c r="O19" s="34">
        <v>0.6</v>
      </c>
      <c r="P19" s="34">
        <v>0.6</v>
      </c>
      <c r="Q19" s="34">
        <v>0.6</v>
      </c>
      <c r="R19" s="34">
        <v>0.6</v>
      </c>
      <c r="S19" s="34">
        <v>0.6</v>
      </c>
      <c r="T19" s="34">
        <v>0.6</v>
      </c>
      <c r="U19" s="34">
        <v>0.6</v>
      </c>
      <c r="V19" s="34">
        <v>0.6</v>
      </c>
      <c r="W19" s="34">
        <v>0.6</v>
      </c>
      <c r="X19" s="34">
        <v>0.6</v>
      </c>
      <c r="Y19" s="34">
        <v>0.6</v>
      </c>
      <c r="Z19" s="34">
        <v>0.6</v>
      </c>
      <c r="AA19" s="34">
        <v>0.6</v>
      </c>
      <c r="AB19" s="34">
        <v>0.6</v>
      </c>
      <c r="AC19" s="34"/>
      <c r="AD19" s="34"/>
      <c r="AF19" s="34"/>
    </row>
    <row r="20" spans="1:32">
      <c r="A20" s="1435"/>
      <c r="B20" s="1437"/>
      <c r="C20" s="1126"/>
      <c r="D20" s="1126"/>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F20" s="34"/>
    </row>
    <row r="21" spans="1:32">
      <c r="A21" s="1435"/>
      <c r="B21" s="1438" t="s">
        <v>1297</v>
      </c>
      <c r="C21" s="1436"/>
      <c r="D21" s="1436"/>
      <c r="E21" s="714"/>
      <c r="F21" s="805">
        <v>7.0000000000000007E-2</v>
      </c>
      <c r="G21" s="805">
        <v>7.0000000000000007E-2</v>
      </c>
      <c r="H21" s="805">
        <v>7.0000000000000007E-2</v>
      </c>
      <c r="I21" s="805">
        <v>7.0000000000000007E-2</v>
      </c>
      <c r="J21" s="805">
        <v>7.0000000000000007E-2</v>
      </c>
      <c r="K21" s="805">
        <v>7.0000000000000007E-2</v>
      </c>
      <c r="L21" s="805">
        <v>7.0000000000000007E-2</v>
      </c>
      <c r="M21" s="805">
        <v>7.0000000000000007E-2</v>
      </c>
      <c r="N21" s="805">
        <v>7.0000000000000007E-2</v>
      </c>
      <c r="O21" s="805">
        <v>7.0000000000000007E-2</v>
      </c>
      <c r="P21" s="805">
        <v>7.0000000000000007E-2</v>
      </c>
      <c r="Q21" s="805">
        <v>7.0000000000000007E-2</v>
      </c>
      <c r="R21" s="805">
        <v>7.0000000000000007E-2</v>
      </c>
      <c r="S21" s="805">
        <v>7.0000000000000007E-2</v>
      </c>
      <c r="T21" s="805">
        <v>7.0000000000000007E-2</v>
      </c>
      <c r="U21" s="805">
        <v>7.0000000000000007E-2</v>
      </c>
      <c r="V21" s="805">
        <v>7.0000000000000007E-2</v>
      </c>
      <c r="W21" s="805">
        <v>7.0000000000000007E-2</v>
      </c>
      <c r="X21" s="805">
        <v>7.0000000000000007E-2</v>
      </c>
      <c r="Y21" s="805">
        <v>7.0000000000000007E-2</v>
      </c>
      <c r="Z21" s="805">
        <v>7.0000000000000007E-2</v>
      </c>
      <c r="AA21" s="805">
        <v>7.0000000000000007E-2</v>
      </c>
      <c r="AB21" s="805">
        <v>7.4999999999999997E-2</v>
      </c>
      <c r="AC21" s="34"/>
      <c r="AD21" s="34"/>
      <c r="AF21" s="34"/>
    </row>
    <row r="22" spans="1:32">
      <c r="A22" s="1340"/>
      <c r="B22" s="34"/>
      <c r="C22" s="739"/>
      <c r="D22" s="631"/>
      <c r="E22" s="631"/>
      <c r="F22" s="337"/>
      <c r="G22" s="337"/>
      <c r="H22" s="337"/>
      <c r="I22" s="337"/>
      <c r="J22" s="337"/>
      <c r="K22" s="337"/>
      <c r="L22" s="337"/>
      <c r="M22" s="337"/>
      <c r="N22" s="337"/>
      <c r="O22" s="337"/>
      <c r="P22" s="337"/>
      <c r="Q22" s="337"/>
      <c r="R22" s="755"/>
      <c r="S22" s="1291"/>
      <c r="T22" s="1291"/>
      <c r="U22" s="1291"/>
      <c r="V22" s="1291"/>
      <c r="W22" s="1291"/>
      <c r="X22" s="1291"/>
      <c r="Y22" s="34"/>
      <c r="Z22" s="34"/>
      <c r="AA22" s="34"/>
      <c r="AB22" s="34"/>
      <c r="AC22" s="34"/>
      <c r="AD22" s="34"/>
      <c r="AE22" s="34"/>
      <c r="AF22" s="34"/>
    </row>
    <row r="23" spans="1:32" ht="15.75">
      <c r="A23" s="1281" t="s">
        <v>1466</v>
      </c>
      <c r="B23" s="1203"/>
      <c r="C23" s="1203"/>
      <c r="D23" s="1203"/>
      <c r="E23" s="631"/>
      <c r="F23" s="337"/>
      <c r="G23" s="337"/>
      <c r="H23" s="337"/>
      <c r="I23" s="337"/>
      <c r="J23" s="337"/>
      <c r="K23" s="337"/>
      <c r="L23" s="337"/>
      <c r="M23" s="337"/>
      <c r="N23" s="337"/>
      <c r="O23" s="337"/>
      <c r="P23" s="337"/>
      <c r="Q23" s="337"/>
      <c r="R23" s="337"/>
      <c r="S23" s="1291"/>
      <c r="T23" s="1291"/>
      <c r="U23" s="1291"/>
      <c r="V23" s="1291"/>
      <c r="W23" s="1291"/>
      <c r="X23" s="1291"/>
      <c r="Y23" s="337"/>
      <c r="Z23" s="337"/>
      <c r="AA23" s="337"/>
      <c r="AC23" s="34"/>
      <c r="AD23" s="34"/>
      <c r="AE23" s="34"/>
      <c r="AF23" s="34"/>
    </row>
    <row r="24" spans="1:32">
      <c r="A24" s="1292"/>
      <c r="B24" s="782" t="s">
        <v>1467</v>
      </c>
      <c r="C24" s="714"/>
      <c r="D24" s="714"/>
      <c r="E24" s="714"/>
      <c r="F24" s="604">
        <v>0</v>
      </c>
      <c r="G24" s="604">
        <v>1</v>
      </c>
      <c r="H24" s="604">
        <v>2</v>
      </c>
      <c r="I24" s="604">
        <v>3</v>
      </c>
      <c r="J24" s="604">
        <v>4</v>
      </c>
      <c r="K24" s="604">
        <v>5</v>
      </c>
      <c r="L24" s="604">
        <v>6</v>
      </c>
      <c r="M24" s="604">
        <v>7</v>
      </c>
      <c r="N24" s="604">
        <v>8</v>
      </c>
      <c r="O24" s="604">
        <v>9</v>
      </c>
      <c r="P24" s="604">
        <v>10</v>
      </c>
      <c r="Q24" s="604"/>
      <c r="R24" s="604">
        <v>0</v>
      </c>
      <c r="S24" s="604">
        <v>1</v>
      </c>
      <c r="T24" s="604">
        <v>2</v>
      </c>
      <c r="U24" s="604">
        <v>3</v>
      </c>
      <c r="V24" s="604">
        <v>4</v>
      </c>
      <c r="W24" s="604">
        <v>5</v>
      </c>
      <c r="X24" s="604">
        <v>6</v>
      </c>
      <c r="Y24" s="604">
        <v>7</v>
      </c>
      <c r="Z24" s="604">
        <v>8</v>
      </c>
      <c r="AA24" s="604">
        <v>9</v>
      </c>
      <c r="AB24" s="604">
        <v>10</v>
      </c>
      <c r="AC24" s="34"/>
      <c r="AD24" s="34"/>
      <c r="AE24" s="34"/>
      <c r="AF24" s="34"/>
    </row>
    <row r="25" spans="1:32">
      <c r="A25" s="733"/>
      <c r="B25" s="727"/>
      <c r="C25" s="727"/>
      <c r="D25" s="727"/>
      <c r="E25" s="1276" t="s">
        <v>44</v>
      </c>
      <c r="F25" s="980">
        <v>1999</v>
      </c>
      <c r="G25" s="980">
        <v>2000</v>
      </c>
      <c r="H25" s="980">
        <v>2001</v>
      </c>
      <c r="I25" s="980">
        <v>2002</v>
      </c>
      <c r="J25" s="980">
        <v>2003</v>
      </c>
      <c r="K25" s="980">
        <v>2004</v>
      </c>
      <c r="L25" s="980">
        <v>2005</v>
      </c>
      <c r="M25" s="980">
        <v>2006</v>
      </c>
      <c r="N25" s="980">
        <v>2007</v>
      </c>
      <c r="O25" s="980">
        <v>2008</v>
      </c>
      <c r="P25" s="980">
        <v>2009</v>
      </c>
      <c r="Q25" s="980">
        <v>2010</v>
      </c>
      <c r="R25" s="980">
        <v>2011</v>
      </c>
      <c r="S25" s="980">
        <v>2012</v>
      </c>
      <c r="T25" s="980">
        <v>2013</v>
      </c>
      <c r="U25" s="980">
        <v>2014</v>
      </c>
      <c r="V25" s="980">
        <v>2015</v>
      </c>
      <c r="W25" s="980">
        <v>2016</v>
      </c>
      <c r="X25" s="980">
        <v>2017</v>
      </c>
      <c r="Y25" s="980">
        <v>2018</v>
      </c>
      <c r="Z25" s="980">
        <v>2019</v>
      </c>
      <c r="AA25" s="980">
        <v>2020</v>
      </c>
      <c r="AB25" s="980">
        <v>2021</v>
      </c>
      <c r="AC25" s="34"/>
      <c r="AD25" s="34"/>
      <c r="AE25" s="34"/>
      <c r="AF25" s="34"/>
    </row>
    <row r="26" spans="1:32">
      <c r="A26" s="34"/>
      <c r="B26" s="604" t="s">
        <v>1298</v>
      </c>
      <c r="C26" s="1599" t="s">
        <v>1299</v>
      </c>
      <c r="D26" s="1599"/>
      <c r="E26" s="1599"/>
      <c r="F26" s="1293">
        <v>6.6000000000000003E-2</v>
      </c>
      <c r="G26" s="1293">
        <v>6.5147999999999998E-2</v>
      </c>
      <c r="H26" s="1293">
        <v>6.8486000000000005E-2</v>
      </c>
      <c r="I26" s="1293">
        <v>6.631999999999999E-2</v>
      </c>
      <c r="J26" s="1293">
        <v>6.6400000000000001E-2</v>
      </c>
      <c r="K26" s="1293">
        <v>5.2308E-2</v>
      </c>
      <c r="L26" s="1293">
        <v>6.2876000000000001E-2</v>
      </c>
      <c r="M26" s="1293">
        <v>5.7110000000000001E-2</v>
      </c>
      <c r="N26" s="1293">
        <v>5.8376000000000004E-2</v>
      </c>
      <c r="O26" s="1293">
        <v>6.7169999999999994E-2</v>
      </c>
      <c r="P26" s="1293">
        <v>6.4153000000000002E-2</v>
      </c>
      <c r="Q26" s="1293">
        <v>5.9699999999999996E-2</v>
      </c>
      <c r="R26" s="1293">
        <v>5.5140000000000002E-2</v>
      </c>
      <c r="S26" s="1293">
        <v>5.04E-2</v>
      </c>
      <c r="T26" s="1293">
        <v>3.4000000000000002E-2</v>
      </c>
      <c r="U26" s="1293">
        <v>3.8300000000000001E-2</v>
      </c>
      <c r="V26" s="1293">
        <v>4.4199999999999996E-2</v>
      </c>
      <c r="W26" s="1293">
        <v>3.7699999999999997E-2</v>
      </c>
      <c r="X26" s="1293">
        <v>2.5099999999999997E-2</v>
      </c>
      <c r="Y26" s="1293">
        <v>2.7699999999999999E-2</v>
      </c>
      <c r="Z26" s="1293">
        <v>2.8999999999999998E-2</v>
      </c>
      <c r="AA26" s="1293">
        <v>1.6299999999999999E-2</v>
      </c>
      <c r="AB26" s="1293">
        <v>9.0000000000000011E-3</v>
      </c>
      <c r="AC26" s="604"/>
      <c r="AD26" s="34"/>
      <c r="AE26" s="34"/>
      <c r="AF26" s="34"/>
    </row>
    <row r="27" spans="1:32">
      <c r="A27" s="34"/>
      <c r="B27" s="604" t="s">
        <v>1300</v>
      </c>
      <c r="C27" s="604"/>
      <c r="D27" s="34"/>
      <c r="E27" s="34"/>
      <c r="F27" s="797">
        <v>0.02</v>
      </c>
      <c r="G27" s="797">
        <v>0.02</v>
      </c>
      <c r="H27" s="797">
        <v>0.02</v>
      </c>
      <c r="I27" s="797">
        <v>0.02</v>
      </c>
      <c r="J27" s="797">
        <v>0.02</v>
      </c>
      <c r="K27" s="797">
        <v>0.02</v>
      </c>
      <c r="L27" s="797">
        <v>0.02</v>
      </c>
      <c r="M27" s="797">
        <v>0.02</v>
      </c>
      <c r="N27" s="797">
        <v>0.02</v>
      </c>
      <c r="O27" s="797">
        <v>0.02</v>
      </c>
      <c r="P27" s="797">
        <v>0.02</v>
      </c>
      <c r="Q27" s="797">
        <v>0.02</v>
      </c>
      <c r="R27" s="797">
        <v>0.02</v>
      </c>
      <c r="S27" s="797">
        <v>0.02</v>
      </c>
      <c r="T27" s="797">
        <v>0.02</v>
      </c>
      <c r="U27" s="797">
        <v>0.02</v>
      </c>
      <c r="V27" s="797">
        <v>0.02</v>
      </c>
      <c r="W27" s="797">
        <v>0.02</v>
      </c>
      <c r="X27" s="797">
        <v>0.02</v>
      </c>
      <c r="Y27" s="797">
        <v>0.02</v>
      </c>
      <c r="Z27" s="797">
        <v>0.02</v>
      </c>
      <c r="AA27" s="797">
        <v>0.02</v>
      </c>
      <c r="AB27" s="797">
        <v>0.02</v>
      </c>
      <c r="AC27" s="604"/>
      <c r="AD27" s="34"/>
      <c r="AE27" s="34"/>
      <c r="AF27" s="34"/>
    </row>
    <row r="28" spans="1:32">
      <c r="A28" s="34"/>
      <c r="B28" s="604" t="s">
        <v>1301</v>
      </c>
      <c r="C28" s="604"/>
      <c r="D28" s="34"/>
      <c r="E28" s="34"/>
      <c r="F28" s="793">
        <v>0.3</v>
      </c>
      <c r="G28" s="793">
        <v>0.3</v>
      </c>
      <c r="H28" s="793">
        <v>0.3</v>
      </c>
      <c r="I28" s="793">
        <v>0.3</v>
      </c>
      <c r="J28" s="793">
        <v>0.3</v>
      </c>
      <c r="K28" s="793">
        <v>0.3</v>
      </c>
      <c r="L28" s="793">
        <v>0.3</v>
      </c>
      <c r="M28" s="793">
        <v>0.3</v>
      </c>
      <c r="N28" s="793">
        <v>0.3</v>
      </c>
      <c r="O28" s="793">
        <v>0.3</v>
      </c>
      <c r="P28" s="793">
        <v>0.3</v>
      </c>
      <c r="Q28" s="793">
        <v>0.3</v>
      </c>
      <c r="R28" s="793">
        <v>0.3</v>
      </c>
      <c r="S28" s="793">
        <v>0.3</v>
      </c>
      <c r="T28" s="793">
        <v>0.3</v>
      </c>
      <c r="U28" s="793">
        <v>0.3</v>
      </c>
      <c r="V28" s="793">
        <v>0.3</v>
      </c>
      <c r="W28" s="793">
        <v>0.3</v>
      </c>
      <c r="X28" s="793">
        <v>0.3</v>
      </c>
      <c r="Y28" s="793">
        <v>0.3</v>
      </c>
      <c r="Z28" s="793">
        <v>0.3</v>
      </c>
      <c r="AA28" s="793">
        <v>0.3</v>
      </c>
      <c r="AB28" s="793">
        <v>0.3</v>
      </c>
      <c r="AC28" s="604"/>
      <c r="AD28" s="34"/>
      <c r="AE28" s="34"/>
      <c r="AF28" s="34"/>
    </row>
    <row r="29" spans="1:32">
      <c r="A29" s="34"/>
      <c r="B29" s="604" t="s">
        <v>1302</v>
      </c>
      <c r="C29" s="604"/>
      <c r="D29" s="34"/>
      <c r="E29" s="34"/>
      <c r="F29" s="800">
        <v>0.6</v>
      </c>
      <c r="G29" s="800">
        <v>0.6</v>
      </c>
      <c r="H29" s="800">
        <v>0.6</v>
      </c>
      <c r="I29" s="800">
        <v>0.6</v>
      </c>
      <c r="J29" s="800">
        <v>0.6</v>
      </c>
      <c r="K29" s="800">
        <v>0.6</v>
      </c>
      <c r="L29" s="800">
        <v>0.6</v>
      </c>
      <c r="M29" s="800">
        <v>0.6</v>
      </c>
      <c r="N29" s="800">
        <v>0.6</v>
      </c>
      <c r="O29" s="800">
        <v>0.6</v>
      </c>
      <c r="P29" s="800">
        <v>0.6</v>
      </c>
      <c r="Q29" s="800">
        <v>0.6</v>
      </c>
      <c r="R29" s="800">
        <v>0.6</v>
      </c>
      <c r="S29" s="800">
        <v>0.6</v>
      </c>
      <c r="T29" s="800">
        <v>0.6</v>
      </c>
      <c r="U29" s="800">
        <v>0.6</v>
      </c>
      <c r="V29" s="800">
        <v>0.6</v>
      </c>
      <c r="W29" s="800">
        <v>0.6</v>
      </c>
      <c r="X29" s="800">
        <v>0.6</v>
      </c>
      <c r="Y29" s="800">
        <v>0.6</v>
      </c>
      <c r="Z29" s="800">
        <v>0.6</v>
      </c>
      <c r="AA29" s="800">
        <v>0.6</v>
      </c>
      <c r="AB29" s="800">
        <v>0.6</v>
      </c>
      <c r="AC29" s="604"/>
      <c r="AD29" s="34"/>
      <c r="AE29" s="34"/>
      <c r="AF29" s="34"/>
    </row>
    <row r="30" spans="1:32">
      <c r="A30" s="34"/>
      <c r="B30" s="604" t="s">
        <v>1303</v>
      </c>
      <c r="C30" s="604"/>
      <c r="D30" s="34"/>
      <c r="E30" s="34"/>
      <c r="F30" s="800"/>
      <c r="G30" s="800"/>
      <c r="H30" s="800"/>
      <c r="I30" s="800"/>
      <c r="J30" s="800"/>
      <c r="K30" s="800"/>
      <c r="L30" s="800"/>
      <c r="M30" s="800"/>
      <c r="N30" s="800"/>
      <c r="O30" s="800"/>
      <c r="P30" s="800"/>
      <c r="Q30" s="800"/>
      <c r="R30" s="800"/>
      <c r="S30" s="800"/>
      <c r="T30" s="800"/>
      <c r="U30" s="800"/>
      <c r="V30" s="800"/>
      <c r="W30" s="800"/>
      <c r="X30" s="800"/>
      <c r="Y30" s="800"/>
      <c r="Z30" s="800"/>
      <c r="AA30" s="800"/>
      <c r="AB30" s="800"/>
      <c r="AC30" s="604"/>
      <c r="AD30" s="34"/>
      <c r="AE30" s="34"/>
      <c r="AF30" s="34"/>
    </row>
    <row r="31" spans="1:32">
      <c r="A31" s="34"/>
      <c r="B31" s="604" t="s">
        <v>1297</v>
      </c>
      <c r="C31" s="604"/>
      <c r="D31" s="34"/>
      <c r="E31" s="34"/>
      <c r="F31" s="1294">
        <v>7.0000000000000007E-2</v>
      </c>
      <c r="G31" s="1294">
        <v>7.0000000000000007E-2</v>
      </c>
      <c r="H31" s="1294">
        <v>7.0000000000000007E-2</v>
      </c>
      <c r="I31" s="1294">
        <v>7.0000000000000007E-2</v>
      </c>
      <c r="J31" s="1294">
        <v>7.0000000000000007E-2</v>
      </c>
      <c r="K31" s="1294">
        <v>7.0000000000000007E-2</v>
      </c>
      <c r="L31" s="1294">
        <v>7.0000000000000007E-2</v>
      </c>
      <c r="M31" s="1294">
        <v>7.0000000000000007E-2</v>
      </c>
      <c r="N31" s="1294">
        <v>7.0000000000000007E-2</v>
      </c>
      <c r="O31" s="1294">
        <v>7.0000000000000007E-2</v>
      </c>
      <c r="P31" s="1294">
        <v>7.0000000000000007E-2</v>
      </c>
      <c r="Q31" s="1294">
        <v>7.0000000000000007E-2</v>
      </c>
      <c r="R31" s="1294">
        <v>7.0000000000000007E-2</v>
      </c>
      <c r="S31" s="1294">
        <v>7.0000000000000007E-2</v>
      </c>
      <c r="T31" s="1294">
        <v>7.0000000000000007E-2</v>
      </c>
      <c r="U31" s="1294">
        <v>7.0000000000000007E-2</v>
      </c>
      <c r="V31" s="1294">
        <v>7.0000000000000007E-2</v>
      </c>
      <c r="W31" s="1294">
        <v>7.0000000000000007E-2</v>
      </c>
      <c r="X31" s="1294">
        <v>7.0000000000000007E-2</v>
      </c>
      <c r="Y31" s="1294">
        <v>7.0000000000000007E-2</v>
      </c>
      <c r="Z31" s="1294">
        <v>7.0000000000000007E-2</v>
      </c>
      <c r="AA31" s="1294">
        <v>7.0000000000000007E-2</v>
      </c>
      <c r="AB31" s="1294">
        <v>7.4999999999999997E-2</v>
      </c>
      <c r="AC31" s="604"/>
      <c r="AD31" s="34"/>
      <c r="AE31" s="34"/>
      <c r="AF31" s="34"/>
    </row>
    <row r="32" spans="1:32">
      <c r="A32" s="34"/>
      <c r="B32" s="604" t="s">
        <v>1304</v>
      </c>
      <c r="C32" s="604"/>
      <c r="D32" s="34"/>
      <c r="E32" s="249"/>
      <c r="F32" s="793">
        <v>0.33</v>
      </c>
      <c r="G32" s="793">
        <v>0.33</v>
      </c>
      <c r="H32" s="793">
        <v>0.33</v>
      </c>
      <c r="I32" s="793">
        <v>0.33</v>
      </c>
      <c r="J32" s="793">
        <v>0.33</v>
      </c>
      <c r="K32" s="793">
        <v>0.33</v>
      </c>
      <c r="L32" s="793">
        <v>0.33</v>
      </c>
      <c r="M32" s="793">
        <v>0.33</v>
      </c>
      <c r="N32" s="793">
        <v>0.33</v>
      </c>
      <c r="O32" s="793">
        <v>0.33</v>
      </c>
      <c r="P32" s="793">
        <v>0.3</v>
      </c>
      <c r="Q32" s="793">
        <v>0.3</v>
      </c>
      <c r="R32" s="793">
        <v>0.3</v>
      </c>
      <c r="S32" s="793">
        <v>0.28000000000000003</v>
      </c>
      <c r="T32" s="793">
        <v>0.28000000000000003</v>
      </c>
      <c r="U32" s="793">
        <v>0.28000000000000003</v>
      </c>
      <c r="V32" s="793">
        <v>0.28000000000000003</v>
      </c>
      <c r="W32" s="793">
        <v>0.28000000000000003</v>
      </c>
      <c r="X32" s="793">
        <v>0.28000000000000003</v>
      </c>
      <c r="Y32" s="793">
        <v>0.28000000000000003</v>
      </c>
      <c r="Z32" s="793">
        <v>0.28000000000000003</v>
      </c>
      <c r="AA32" s="793">
        <v>0.28000000000000003</v>
      </c>
      <c r="AB32" s="793">
        <v>0.28000000000000003</v>
      </c>
      <c r="AC32" s="604"/>
      <c r="AD32" s="34"/>
      <c r="AE32" s="34"/>
      <c r="AF32" s="34"/>
    </row>
    <row r="33" spans="1:32">
      <c r="A33" s="34"/>
      <c r="B33" s="604" t="s">
        <v>1305</v>
      </c>
      <c r="C33" s="604"/>
      <c r="D33" s="34"/>
      <c r="E33" s="34"/>
      <c r="F33" s="793">
        <v>0.33</v>
      </c>
      <c r="G33" s="793">
        <v>0.33</v>
      </c>
      <c r="H33" s="793">
        <v>0.33</v>
      </c>
      <c r="I33" s="793">
        <v>0.33</v>
      </c>
      <c r="J33" s="793">
        <v>0.33</v>
      </c>
      <c r="K33" s="793">
        <v>0.33</v>
      </c>
      <c r="L33" s="793">
        <v>0.33</v>
      </c>
      <c r="M33" s="793">
        <v>0.33</v>
      </c>
      <c r="N33" s="793">
        <v>0.33</v>
      </c>
      <c r="O33" s="793">
        <v>0.33</v>
      </c>
      <c r="P33" s="793">
        <v>0.3</v>
      </c>
      <c r="Q33" s="793">
        <v>0.3</v>
      </c>
      <c r="R33" s="793">
        <v>0.3</v>
      </c>
      <c r="S33" s="793">
        <v>0.28000000000000003</v>
      </c>
      <c r="T33" s="793">
        <v>0.28000000000000003</v>
      </c>
      <c r="U33" s="793">
        <v>0.28000000000000003</v>
      </c>
      <c r="V33" s="793">
        <v>0.28000000000000003</v>
      </c>
      <c r="W33" s="793">
        <v>0.28000000000000003</v>
      </c>
      <c r="X33" s="793">
        <v>0.28000000000000003</v>
      </c>
      <c r="Y33" s="793">
        <v>0.28000000000000003</v>
      </c>
      <c r="Z33" s="793">
        <v>0.28000000000000003</v>
      </c>
      <c r="AA33" s="793">
        <v>0.28000000000000003</v>
      </c>
      <c r="AB33" s="793">
        <v>0.28000000000000003</v>
      </c>
      <c r="AC33" s="604"/>
      <c r="AD33" s="34"/>
      <c r="AE33" s="34"/>
      <c r="AF33" s="34"/>
    </row>
    <row r="34" spans="1:32">
      <c r="A34" s="34"/>
      <c r="B34" s="604" t="s">
        <v>1306</v>
      </c>
      <c r="C34" s="604"/>
      <c r="D34" s="34"/>
      <c r="E34" s="34"/>
      <c r="F34" s="800">
        <v>0.85714285714285721</v>
      </c>
      <c r="G34" s="800">
        <v>0.85714285714285721</v>
      </c>
      <c r="H34" s="800">
        <v>0.85714285714285721</v>
      </c>
      <c r="I34" s="800">
        <v>0.85714285714285721</v>
      </c>
      <c r="J34" s="800">
        <v>0.85714285714285721</v>
      </c>
      <c r="K34" s="800">
        <v>0.85714285714285721</v>
      </c>
      <c r="L34" s="800">
        <v>0.85714285714285721</v>
      </c>
      <c r="M34" s="800">
        <v>0.85714285714285721</v>
      </c>
      <c r="N34" s="800">
        <v>0.85714285714285721</v>
      </c>
      <c r="O34" s="800">
        <v>0.85714285714285721</v>
      </c>
      <c r="P34" s="800">
        <v>0.85714285714285721</v>
      </c>
      <c r="Q34" s="800">
        <v>0.85714285714285721</v>
      </c>
      <c r="R34" s="800">
        <v>0.85714285714285721</v>
      </c>
      <c r="S34" s="800">
        <v>0.85714285714285721</v>
      </c>
      <c r="T34" s="800">
        <v>0.85714285714285721</v>
      </c>
      <c r="U34" s="800">
        <v>0.85714285714285721</v>
      </c>
      <c r="V34" s="800">
        <v>0.85714285714285721</v>
      </c>
      <c r="W34" s="800">
        <v>0.85714285714285721</v>
      </c>
      <c r="X34" s="800">
        <v>0.85714285714285721</v>
      </c>
      <c r="Y34" s="800">
        <v>0.85714285714285721</v>
      </c>
      <c r="Z34" s="800">
        <v>0.85714285714285721</v>
      </c>
      <c r="AA34" s="800">
        <v>0.85714285714285721</v>
      </c>
      <c r="AB34" s="800">
        <v>0.85714285714285721</v>
      </c>
      <c r="AC34" s="604"/>
      <c r="AD34" s="34"/>
      <c r="AE34" s="34"/>
      <c r="AF34" s="34"/>
    </row>
    <row r="35" spans="1:32">
      <c r="A35" s="34"/>
      <c r="B35" s="604" t="s">
        <v>1307</v>
      </c>
      <c r="C35" s="604"/>
      <c r="D35" s="34"/>
      <c r="E35" s="34"/>
      <c r="F35" s="797">
        <v>0.10422000000000001</v>
      </c>
      <c r="G35" s="797">
        <v>0.10364916</v>
      </c>
      <c r="H35" s="797">
        <v>0.10588562000000001</v>
      </c>
      <c r="I35" s="797">
        <v>0.10443440000000001</v>
      </c>
      <c r="J35" s="797">
        <v>0.104488</v>
      </c>
      <c r="K35" s="797">
        <v>9.504636000000001E-2</v>
      </c>
      <c r="L35" s="797">
        <v>0.10212692000000001</v>
      </c>
      <c r="M35" s="797">
        <v>9.8263700000000009E-2</v>
      </c>
      <c r="N35" s="797">
        <v>9.911192000000002E-2</v>
      </c>
      <c r="O35" s="797">
        <v>0.10500390000000001</v>
      </c>
      <c r="P35" s="797">
        <v>0.1049071</v>
      </c>
      <c r="Q35" s="797">
        <v>0.10179000000000001</v>
      </c>
      <c r="R35" s="797">
        <v>9.8598000000000019E-2</v>
      </c>
      <c r="S35" s="797">
        <v>9.6288000000000012E-2</v>
      </c>
      <c r="T35" s="797">
        <v>8.4480000000000013E-2</v>
      </c>
      <c r="U35" s="797">
        <v>8.7576000000000015E-2</v>
      </c>
      <c r="V35" s="797">
        <v>9.1824000000000017E-2</v>
      </c>
      <c r="W35" s="797">
        <v>8.7144000000000013E-2</v>
      </c>
      <c r="X35" s="797">
        <v>7.8072000000000003E-2</v>
      </c>
      <c r="Y35" s="797">
        <v>7.9944000000000015E-2</v>
      </c>
      <c r="Z35" s="797">
        <v>8.0880000000000007E-2</v>
      </c>
      <c r="AA35" s="797">
        <v>7.1736000000000008E-2</v>
      </c>
      <c r="AB35" s="797">
        <v>7.0765714285714293E-2</v>
      </c>
      <c r="AC35" s="604"/>
      <c r="AD35" s="34"/>
      <c r="AE35" s="34"/>
      <c r="AF35" s="34"/>
    </row>
    <row r="36" spans="1:32">
      <c r="A36" s="34"/>
      <c r="B36" s="604"/>
      <c r="C36" s="604"/>
      <c r="D36" s="34"/>
      <c r="E36" s="34"/>
      <c r="F36" s="797"/>
      <c r="G36" s="797"/>
      <c r="H36" s="797"/>
      <c r="I36" s="797"/>
      <c r="J36" s="797"/>
      <c r="K36" s="797"/>
      <c r="L36" s="797"/>
      <c r="M36" s="797"/>
      <c r="N36" s="797"/>
      <c r="O36" s="797"/>
      <c r="P36" s="797"/>
      <c r="Q36" s="797"/>
      <c r="R36" s="797"/>
      <c r="S36" s="797"/>
      <c r="T36" s="797"/>
      <c r="U36" s="797"/>
      <c r="V36" s="797"/>
      <c r="W36" s="797"/>
      <c r="X36" s="797"/>
      <c r="Y36" s="797"/>
      <c r="Z36" s="797"/>
      <c r="AA36" s="797"/>
      <c r="AB36" s="797"/>
      <c r="AC36" s="604"/>
      <c r="AD36" s="34"/>
      <c r="AE36" s="34"/>
      <c r="AF36" s="34"/>
    </row>
    <row r="37" spans="1:32">
      <c r="A37" s="34"/>
      <c r="B37" s="604" t="s">
        <v>1308</v>
      </c>
      <c r="C37" s="604"/>
      <c r="D37" s="34"/>
      <c r="E37" s="34"/>
      <c r="F37" s="797">
        <v>9.0240000000000001E-2</v>
      </c>
      <c r="G37" s="797">
        <v>8.9669159999999998E-2</v>
      </c>
      <c r="H37" s="797">
        <v>9.1905619999999993E-2</v>
      </c>
      <c r="I37" s="797">
        <v>9.045439999999999E-2</v>
      </c>
      <c r="J37" s="797">
        <v>9.0507999999999977E-2</v>
      </c>
      <c r="K37" s="797">
        <v>8.1066360000000004E-2</v>
      </c>
      <c r="L37" s="797">
        <v>8.814691999999999E-2</v>
      </c>
      <c r="M37" s="797">
        <v>8.4283700000000003E-2</v>
      </c>
      <c r="N37" s="797">
        <v>8.513192E-2</v>
      </c>
      <c r="O37" s="797">
        <v>9.1023900000000005E-2</v>
      </c>
      <c r="P37" s="797">
        <v>9.1107099999999996E-2</v>
      </c>
      <c r="Q37" s="797">
        <v>8.7989999999999999E-2</v>
      </c>
      <c r="R37" s="797">
        <v>8.4798000000000012E-2</v>
      </c>
      <c r="S37" s="797">
        <v>8.2608000000000001E-2</v>
      </c>
      <c r="T37" s="797">
        <v>7.0800000000000002E-2</v>
      </c>
      <c r="U37" s="797">
        <v>7.3896000000000003E-2</v>
      </c>
      <c r="V37" s="797">
        <v>7.8144000000000005E-2</v>
      </c>
      <c r="W37" s="797">
        <v>7.3464000000000002E-2</v>
      </c>
      <c r="X37" s="797">
        <v>6.4392000000000005E-2</v>
      </c>
      <c r="Y37" s="797">
        <v>6.6264000000000003E-2</v>
      </c>
      <c r="Z37" s="797">
        <v>6.7199999999999996E-2</v>
      </c>
      <c r="AA37" s="797">
        <v>5.8056000000000003E-2</v>
      </c>
      <c r="AB37" s="797">
        <v>5.5800000000000002E-2</v>
      </c>
      <c r="AC37" s="604"/>
      <c r="AD37" s="34"/>
      <c r="AE37" s="34"/>
      <c r="AF37" s="34"/>
    </row>
    <row r="38" spans="1:32">
      <c r="A38" s="34"/>
      <c r="B38" s="604"/>
      <c r="C38" s="604"/>
      <c r="D38" s="34"/>
      <c r="E38" s="34"/>
      <c r="F38" s="797"/>
      <c r="G38" s="797"/>
      <c r="H38" s="797"/>
      <c r="I38" s="797"/>
      <c r="J38" s="797"/>
      <c r="K38" s="797"/>
      <c r="L38" s="797"/>
      <c r="M38" s="797"/>
      <c r="N38" s="797"/>
      <c r="O38" s="797"/>
      <c r="P38" s="797"/>
      <c r="Q38" s="797"/>
      <c r="R38" s="797"/>
      <c r="S38" s="797"/>
      <c r="T38" s="797"/>
      <c r="U38" s="797"/>
      <c r="V38" s="797"/>
      <c r="W38" s="797"/>
      <c r="X38" s="797"/>
      <c r="Y38" s="797"/>
      <c r="Z38" s="797"/>
      <c r="AA38" s="797"/>
      <c r="AB38" s="797"/>
      <c r="AC38" s="604"/>
      <c r="AD38" s="34"/>
      <c r="AE38" s="34"/>
      <c r="AF38" s="34"/>
    </row>
    <row r="39" spans="1:32" ht="13.5" thickBot="1">
      <c r="A39" s="34"/>
      <c r="B39" s="782" t="s">
        <v>434</v>
      </c>
      <c r="C39" s="782"/>
      <c r="D39" s="604" t="s">
        <v>1309</v>
      </c>
      <c r="E39" s="34"/>
      <c r="F39" s="1295">
        <v>0.09</v>
      </c>
      <c r="G39" s="1295">
        <v>0.09</v>
      </c>
      <c r="H39" s="1295">
        <v>9.1999999999999998E-2</v>
      </c>
      <c r="I39" s="1295">
        <v>0.09</v>
      </c>
      <c r="J39" s="1295">
        <v>9.0999999999999998E-2</v>
      </c>
      <c r="K39" s="1295">
        <v>8.1000000000000003E-2</v>
      </c>
      <c r="L39" s="1295">
        <v>8.7999999999999995E-2</v>
      </c>
      <c r="M39" s="1295">
        <v>8.4000000000000005E-2</v>
      </c>
      <c r="N39" s="1295">
        <v>8.5000000000000006E-2</v>
      </c>
      <c r="O39" s="1295">
        <v>9.0999999999999998E-2</v>
      </c>
      <c r="P39" s="1295">
        <v>9.0999999999999998E-2</v>
      </c>
      <c r="Q39" s="1296">
        <v>8.7999999999999995E-2</v>
      </c>
      <c r="R39" s="1296">
        <v>8.5000000000000006E-2</v>
      </c>
      <c r="S39" s="1296">
        <v>8.3000000000000004E-2</v>
      </c>
      <c r="T39" s="1296">
        <v>7.0999999999999994E-2</v>
      </c>
      <c r="U39" s="1296">
        <v>7.3999999999999996E-2</v>
      </c>
      <c r="V39" s="1296">
        <v>7.8E-2</v>
      </c>
      <c r="W39" s="1296">
        <v>7.2999999999999995E-2</v>
      </c>
      <c r="X39" s="1296">
        <v>6.4000000000000001E-2</v>
      </c>
      <c r="Y39" s="1296">
        <v>6.6000000000000003E-2</v>
      </c>
      <c r="Z39" s="1296">
        <v>6.7000000000000004E-2</v>
      </c>
      <c r="AA39" s="1296">
        <v>5.8000000000000003E-2</v>
      </c>
      <c r="AB39" s="1296">
        <v>5.6000000000000001E-2</v>
      </c>
      <c r="AC39" s="604"/>
      <c r="AD39" s="34"/>
      <c r="AE39" s="34"/>
      <c r="AF39" s="34"/>
    </row>
    <row r="40" spans="1:32" ht="13.5" thickTop="1">
      <c r="A40" s="1530"/>
      <c r="B40" s="1530"/>
      <c r="C40" s="1530"/>
      <c r="D40" s="1530"/>
      <c r="E40" s="1530"/>
      <c r="F40" s="1530"/>
      <c r="G40" s="1530"/>
      <c r="H40" s="1530"/>
      <c r="I40" s="1530"/>
      <c r="J40" s="1530"/>
      <c r="K40" s="1530"/>
      <c r="L40" s="1530"/>
      <c r="M40" s="1530"/>
      <c r="N40" s="1530"/>
      <c r="O40" s="1530"/>
      <c r="P40" s="1530"/>
      <c r="Q40" s="1530"/>
      <c r="R40" s="1530"/>
      <c r="S40" s="1530"/>
      <c r="T40" s="1530"/>
      <c r="U40" s="1530"/>
      <c r="V40" s="1530"/>
      <c r="W40" s="1530"/>
      <c r="X40" s="1530"/>
      <c r="Y40" s="1530"/>
      <c r="Z40" s="1530"/>
      <c r="AA40" s="1530"/>
      <c r="AB40" s="1530"/>
      <c r="AC40" s="1530"/>
      <c r="AD40" s="34"/>
      <c r="AE40" s="34"/>
      <c r="AF40" s="34"/>
    </row>
    <row r="41" spans="1:32">
      <c r="A41" s="1530"/>
      <c r="B41" s="1297" t="s">
        <v>1310</v>
      </c>
      <c r="C41" s="1530"/>
      <c r="D41" s="1530"/>
      <c r="E41" s="1530"/>
      <c r="F41" s="1530"/>
      <c r="G41" s="1530"/>
      <c r="H41" s="1530"/>
      <c r="I41" s="1530"/>
      <c r="J41" s="1530"/>
      <c r="K41" s="1530"/>
      <c r="L41" s="1530"/>
      <c r="M41" s="1530"/>
      <c r="N41" s="1530"/>
      <c r="O41" s="1530"/>
      <c r="P41" s="1530"/>
      <c r="Q41" s="1530"/>
      <c r="R41" s="1530"/>
      <c r="S41" s="1290"/>
      <c r="T41" s="1290"/>
      <c r="U41" s="1290"/>
      <c r="V41" s="1290"/>
      <c r="W41" s="1290"/>
      <c r="X41" s="1290"/>
      <c r="Y41" s="1290"/>
      <c r="Z41" s="1322" t="s">
        <v>1311</v>
      </c>
      <c r="AA41" s="1322" t="s">
        <v>1311</v>
      </c>
      <c r="AB41" s="1322" t="s">
        <v>1311</v>
      </c>
      <c r="AC41" s="1530"/>
    </row>
    <row r="42" spans="1:32">
      <c r="A42" s="1298"/>
      <c r="B42" s="1432"/>
      <c r="C42" s="1298"/>
      <c r="D42" s="1298"/>
      <c r="E42" s="1298"/>
      <c r="F42" s="1298"/>
      <c r="G42" s="1298"/>
      <c r="H42" s="1298"/>
      <c r="I42" s="1298"/>
      <c r="J42" s="1298"/>
      <c r="K42" s="1298"/>
      <c r="L42" s="1298"/>
      <c r="M42" s="1298"/>
      <c r="N42" s="1298"/>
      <c r="O42" s="1298"/>
      <c r="P42" s="1298"/>
      <c r="Q42" s="1298"/>
      <c r="R42" s="1298"/>
      <c r="S42" s="1433"/>
      <c r="T42" s="1433"/>
      <c r="U42" s="1433"/>
      <c r="V42" s="1433"/>
      <c r="W42" s="1433"/>
      <c r="X42" s="1433"/>
      <c r="Y42" s="1433"/>
      <c r="Z42" s="1434"/>
      <c r="AA42" s="1434"/>
      <c r="AB42" s="1322"/>
      <c r="AC42" s="1530"/>
    </row>
    <row r="43" spans="1:32" ht="18">
      <c r="A43" s="1440"/>
      <c r="B43" s="1440"/>
      <c r="C43" s="1440"/>
      <c r="D43" s="1440"/>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083">
        <v>6.2</v>
      </c>
      <c r="AC43" s="1530"/>
    </row>
    <row r="44" spans="1:32" ht="15.75">
      <c r="A44" s="1281" t="s">
        <v>1312</v>
      </c>
      <c r="B44" s="1203"/>
      <c r="C44" s="1203"/>
      <c r="D44" s="1203"/>
      <c r="E44" s="1440"/>
      <c r="F44" s="1440"/>
      <c r="G44" s="1440"/>
      <c r="H44" s="1440"/>
      <c r="I44" s="1440"/>
      <c r="J44" s="1440"/>
      <c r="K44" s="1440"/>
      <c r="L44" s="1440"/>
      <c r="M44" s="1440"/>
      <c r="N44" s="1440"/>
      <c r="O44" s="1440"/>
      <c r="P44" s="1440"/>
      <c r="Q44" s="604"/>
      <c r="R44" s="604">
        <v>0</v>
      </c>
      <c r="S44" s="604">
        <v>1</v>
      </c>
      <c r="T44" s="604">
        <v>2</v>
      </c>
      <c r="U44" s="604">
        <v>3</v>
      </c>
      <c r="V44" s="604">
        <v>4</v>
      </c>
      <c r="W44" s="604">
        <v>5</v>
      </c>
      <c r="X44" s="604">
        <v>6</v>
      </c>
      <c r="Y44" s="604">
        <v>7</v>
      </c>
      <c r="Z44" s="604">
        <v>8</v>
      </c>
      <c r="AA44" s="604">
        <v>9</v>
      </c>
      <c r="AB44" s="604">
        <v>10</v>
      </c>
      <c r="AC44" s="1530"/>
    </row>
    <row r="45" spans="1:32">
      <c r="A45" s="1440"/>
      <c r="B45" s="1440"/>
      <c r="C45" s="1440"/>
      <c r="D45" s="1440"/>
      <c r="E45" s="1440"/>
      <c r="F45" s="1440"/>
      <c r="G45" s="1440"/>
      <c r="H45" s="1440"/>
      <c r="I45" s="1440"/>
      <c r="J45" s="1440"/>
      <c r="K45" s="1440"/>
      <c r="L45" s="1440"/>
      <c r="M45" s="1440"/>
      <c r="N45" s="1440"/>
      <c r="O45" s="1440"/>
      <c r="P45" s="1440"/>
      <c r="Q45" s="980">
        <v>2010</v>
      </c>
      <c r="R45" s="980">
        <v>2011</v>
      </c>
      <c r="S45" s="980">
        <v>2012</v>
      </c>
      <c r="T45" s="980">
        <v>2013</v>
      </c>
      <c r="U45" s="980">
        <v>2014</v>
      </c>
      <c r="V45" s="980">
        <v>2015</v>
      </c>
      <c r="W45" s="980">
        <v>2016</v>
      </c>
      <c r="X45" s="980">
        <v>2017</v>
      </c>
      <c r="Y45" s="980">
        <v>2018</v>
      </c>
      <c r="Z45" s="980">
        <v>2019</v>
      </c>
      <c r="AA45" s="980">
        <v>2020</v>
      </c>
      <c r="AB45" s="980">
        <v>2021</v>
      </c>
      <c r="AC45" s="1530"/>
    </row>
    <row r="46" spans="1:32">
      <c r="E46" s="1440"/>
      <c r="F46" s="1440"/>
      <c r="G46" s="1440"/>
      <c r="H46" s="1440"/>
      <c r="I46" s="1440"/>
      <c r="J46" s="1440"/>
      <c r="K46" s="1440"/>
      <c r="L46" s="1440"/>
      <c r="M46" s="1440"/>
      <c r="N46" s="1440"/>
      <c r="O46" s="1440"/>
      <c r="P46" s="1440"/>
      <c r="Q46" s="1440"/>
      <c r="R46" s="1440"/>
      <c r="S46" s="1440"/>
      <c r="T46" s="1440"/>
      <c r="U46" s="1440"/>
      <c r="V46" s="1440"/>
      <c r="W46" s="1440"/>
      <c r="X46" s="1440"/>
      <c r="Y46" s="1440"/>
      <c r="Z46" s="1440"/>
      <c r="AA46" s="1440"/>
      <c r="AB46" s="1440"/>
      <c r="AC46" s="1530"/>
    </row>
    <row r="47" spans="1:32">
      <c r="A47" s="1299" t="s">
        <v>1313</v>
      </c>
      <c r="B47" s="734"/>
      <c r="C47" s="802"/>
      <c r="D47" s="806" t="s">
        <v>433</v>
      </c>
      <c r="E47" s="34"/>
      <c r="F47" s="34"/>
      <c r="G47" s="34"/>
      <c r="H47" s="124"/>
      <c r="I47" s="124"/>
      <c r="J47" s="124"/>
      <c r="K47" s="124"/>
      <c r="L47" s="124"/>
      <c r="M47" s="124"/>
      <c r="N47" s="124"/>
      <c r="O47" s="124"/>
      <c r="P47" s="124"/>
      <c r="Q47" s="124">
        <v>2.842997</v>
      </c>
      <c r="R47" s="124">
        <v>2.8549639999999998</v>
      </c>
      <c r="S47" s="124">
        <v>2.9151349999999998</v>
      </c>
      <c r="T47" s="124">
        <v>3.2273939999999999</v>
      </c>
      <c r="U47" s="124">
        <v>3.415921</v>
      </c>
      <c r="V47" s="124">
        <v>3.4799389999999999</v>
      </c>
      <c r="W47" s="124">
        <v>4.0045539999999997</v>
      </c>
      <c r="X47" s="124">
        <v>4.1868449999999999</v>
      </c>
      <c r="Y47" s="124">
        <v>4.755439</v>
      </c>
      <c r="Z47" s="124">
        <v>6.7942309999999999</v>
      </c>
      <c r="AA47" s="124">
        <v>5.3806719999999997</v>
      </c>
      <c r="AB47" s="124">
        <v>7.9527929999999998</v>
      </c>
      <c r="AC47" s="1530"/>
    </row>
    <row r="48" spans="1:32">
      <c r="A48" s="613"/>
      <c r="B48" s="34"/>
      <c r="C48" s="613"/>
      <c r="D48" s="1276"/>
      <c r="E48" s="34"/>
      <c r="F48" s="34"/>
      <c r="G48" s="34"/>
      <c r="H48" s="124"/>
      <c r="I48" s="124"/>
      <c r="J48" s="124"/>
      <c r="K48" s="124"/>
      <c r="L48" s="124"/>
      <c r="M48" s="124"/>
      <c r="N48" s="124"/>
      <c r="O48" s="1300"/>
      <c r="P48" s="124"/>
      <c r="Q48" s="124"/>
      <c r="R48" s="124"/>
      <c r="S48" s="124"/>
      <c r="T48" s="807"/>
      <c r="U48" s="34"/>
      <c r="V48" s="34"/>
      <c r="W48" s="34"/>
      <c r="X48" s="34"/>
      <c r="Y48" s="34"/>
      <c r="Z48" s="34"/>
      <c r="AA48" s="704"/>
      <c r="AB48" s="34"/>
      <c r="AC48" s="1530"/>
    </row>
    <row r="49" spans="1:28">
      <c r="A49" s="1299" t="s">
        <v>1314</v>
      </c>
      <c r="B49" s="734"/>
      <c r="C49" s="802"/>
      <c r="D49" s="806" t="s">
        <v>1315</v>
      </c>
      <c r="E49" s="34" t="s">
        <v>1316</v>
      </c>
      <c r="F49" s="45"/>
      <c r="G49" s="45"/>
      <c r="H49" s="1301"/>
      <c r="I49" s="1301"/>
      <c r="J49" s="1301"/>
      <c r="K49" s="1301"/>
      <c r="L49" s="1301"/>
      <c r="M49" s="1301"/>
      <c r="N49" s="1301"/>
      <c r="O49" s="1301"/>
      <c r="P49" s="1301"/>
      <c r="Q49" s="1301"/>
      <c r="R49" s="1301">
        <v>23.9</v>
      </c>
      <c r="S49" s="808">
        <v>26.9</v>
      </c>
      <c r="T49" s="808">
        <v>27.2</v>
      </c>
      <c r="U49" s="808">
        <v>27.7</v>
      </c>
      <c r="V49" s="808">
        <v>31</v>
      </c>
      <c r="W49" s="808">
        <v>-9.1</v>
      </c>
      <c r="X49" s="1302">
        <v>18</v>
      </c>
      <c r="Y49" s="808">
        <v>15.6</v>
      </c>
      <c r="Z49" s="808">
        <v>48.2</v>
      </c>
      <c r="AA49" s="808">
        <v>17.399999999999999</v>
      </c>
      <c r="AB49" s="808">
        <v>25.3</v>
      </c>
    </row>
    <row r="50" spans="1:28">
      <c r="A50" s="739"/>
      <c r="B50" s="1530"/>
      <c r="C50" s="739"/>
      <c r="D50" s="739"/>
      <c r="E50" s="739"/>
      <c r="F50" s="739" t="s">
        <v>336</v>
      </c>
      <c r="G50" s="1301"/>
      <c r="H50" s="1301"/>
      <c r="I50" s="1301"/>
      <c r="J50" s="1301"/>
      <c r="K50" s="1301"/>
      <c r="L50" s="1301"/>
      <c r="M50" s="1301"/>
      <c r="N50" s="1301"/>
      <c r="O50" s="1301">
        <v>126.678</v>
      </c>
      <c r="P50" s="1301">
        <v>90.209000000000003</v>
      </c>
      <c r="Q50" s="1301"/>
      <c r="R50" s="1301"/>
      <c r="S50" s="1301"/>
      <c r="T50" s="1301"/>
      <c r="U50" s="1301"/>
      <c r="V50" s="1301"/>
      <c r="W50" s="1301"/>
      <c r="X50" s="1301"/>
      <c r="Y50" s="1301"/>
      <c r="Z50" s="1301"/>
      <c r="AA50" s="1301"/>
      <c r="AB50" s="45"/>
    </row>
    <row r="51" spans="1:28">
      <c r="A51" s="811" t="s">
        <v>610</v>
      </c>
      <c r="B51" s="734"/>
      <c r="C51" s="802"/>
      <c r="D51" s="806" t="s">
        <v>1315</v>
      </c>
      <c r="E51" s="34"/>
      <c r="F51" s="739"/>
      <c r="G51" s="45"/>
      <c r="H51" s="1301"/>
      <c r="I51" s="1301"/>
      <c r="J51" s="1301"/>
      <c r="K51" s="1301"/>
      <c r="L51" s="1301"/>
      <c r="M51" s="1301"/>
      <c r="N51" s="1301"/>
      <c r="O51" s="1301"/>
      <c r="P51" s="1301"/>
      <c r="Q51" s="1301"/>
      <c r="R51" s="1301">
        <v>23</v>
      </c>
      <c r="S51" s="808">
        <v>23</v>
      </c>
      <c r="T51" s="808">
        <v>23</v>
      </c>
      <c r="U51" s="808">
        <v>25</v>
      </c>
      <c r="V51" s="808">
        <v>76</v>
      </c>
      <c r="W51" s="808">
        <v>26</v>
      </c>
      <c r="X51" s="808">
        <v>27</v>
      </c>
      <c r="Y51" s="808">
        <v>28</v>
      </c>
      <c r="Z51" s="808">
        <v>35</v>
      </c>
      <c r="AA51" s="808">
        <v>39</v>
      </c>
      <c r="AB51" s="808">
        <v>37</v>
      </c>
    </row>
    <row r="52" spans="1:28">
      <c r="A52" s="739"/>
      <c r="F52" s="1303">
        <v>2562034984</v>
      </c>
      <c r="G52" s="1303">
        <v>2562034984</v>
      </c>
      <c r="H52" s="1303">
        <v>2562034984</v>
      </c>
      <c r="I52" s="1303">
        <v>2562034984</v>
      </c>
      <c r="J52" s="1303">
        <v>2562034984</v>
      </c>
      <c r="K52" s="1303">
        <v>2562034984</v>
      </c>
      <c r="L52" s="1303">
        <v>2562034984</v>
      </c>
      <c r="M52" s="1303">
        <v>2562034984</v>
      </c>
      <c r="N52" s="1303">
        <v>2562034984</v>
      </c>
      <c r="O52" s="1303">
        <v>2562034984</v>
      </c>
      <c r="P52" s="1303">
        <v>2562034984</v>
      </c>
      <c r="Q52" s="1303"/>
      <c r="R52" s="1303"/>
    </row>
    <row r="53" spans="1:28">
      <c r="A53" s="1299" t="s">
        <v>1317</v>
      </c>
      <c r="B53" s="1299"/>
      <c r="C53" s="1299"/>
      <c r="D53" s="1342" t="s">
        <v>43</v>
      </c>
      <c r="F53" s="1303"/>
      <c r="G53" s="1303"/>
      <c r="H53" s="1303"/>
      <c r="I53" s="1303"/>
      <c r="J53" s="1303"/>
      <c r="K53" s="1303"/>
      <c r="L53" s="1303"/>
      <c r="M53" s="1303"/>
      <c r="N53" s="1303"/>
      <c r="O53" s="1303"/>
      <c r="P53" s="1303"/>
      <c r="Q53" s="616">
        <v>153048</v>
      </c>
      <c r="R53" s="616">
        <v>161593</v>
      </c>
      <c r="S53" s="616">
        <v>167000</v>
      </c>
      <c r="T53" s="616">
        <v>167000</v>
      </c>
      <c r="U53" s="616">
        <v>184000</v>
      </c>
      <c r="V53" s="616">
        <v>558000</v>
      </c>
      <c r="W53" s="616">
        <v>189000</v>
      </c>
      <c r="X53" s="616">
        <v>186000</v>
      </c>
      <c r="Y53" s="616">
        <v>201000</v>
      </c>
      <c r="Z53" s="616">
        <v>251000</v>
      </c>
      <c r="AA53" s="616">
        <v>280000</v>
      </c>
      <c r="AB53" s="616">
        <v>274000</v>
      </c>
    </row>
    <row r="54" spans="1:28" ht="12.75" hidden="1" customHeight="1">
      <c r="A54" s="810" t="s">
        <v>1318</v>
      </c>
      <c r="B54" s="34"/>
      <c r="C54" s="739"/>
      <c r="D54" s="739"/>
      <c r="E54" s="34"/>
      <c r="F54" s="739"/>
      <c r="G54" s="45"/>
      <c r="H54" s="1301"/>
      <c r="I54" s="1301"/>
      <c r="J54" s="1301"/>
      <c r="K54" s="1301"/>
      <c r="L54" s="1301"/>
      <c r="M54" s="1301"/>
      <c r="N54" s="1301"/>
      <c r="O54" s="1301"/>
      <c r="P54" s="1301"/>
      <c r="Q54" s="1301"/>
      <c r="R54" s="1301"/>
      <c r="S54" s="1301"/>
      <c r="T54" s="34"/>
      <c r="U54" s="34"/>
      <c r="V54" s="34"/>
      <c r="W54" s="34"/>
      <c r="X54" s="34"/>
      <c r="Y54" s="34"/>
      <c r="Z54" s="34"/>
      <c r="AA54" s="34"/>
      <c r="AB54" s="34"/>
    </row>
    <row r="55" spans="1:28" ht="12.75" hidden="1" customHeight="1">
      <c r="A55" s="739" t="s">
        <v>1319</v>
      </c>
      <c r="B55" s="34"/>
      <c r="C55" s="739"/>
      <c r="D55" s="739" t="s">
        <v>336</v>
      </c>
      <c r="E55" s="34"/>
      <c r="F55" s="809">
        <v>49.033000000000001</v>
      </c>
      <c r="G55" s="809">
        <v>32.957999999999998</v>
      </c>
      <c r="H55" s="809">
        <v>39.000999999999998</v>
      </c>
      <c r="I55" s="809">
        <v>31</v>
      </c>
      <c r="J55" s="809">
        <v>53.6</v>
      </c>
      <c r="K55" s="809">
        <v>0</v>
      </c>
      <c r="L55" s="809">
        <v>62.442</v>
      </c>
      <c r="M55" s="809">
        <v>800</v>
      </c>
      <c r="N55" s="809">
        <v>67.893000000000001</v>
      </c>
      <c r="O55" s="809">
        <v>235.88800000000001</v>
      </c>
      <c r="P55" s="1304">
        <v>30</v>
      </c>
      <c r="Q55" s="809"/>
      <c r="R55" s="809">
        <v>615.15</v>
      </c>
      <c r="S55" s="809">
        <v>71.3</v>
      </c>
      <c r="T55" s="809">
        <v>98.8</v>
      </c>
      <c r="U55" s="809">
        <v>109</v>
      </c>
      <c r="V55" s="809">
        <v>159</v>
      </c>
      <c r="W55" s="809">
        <v>193</v>
      </c>
      <c r="X55" s="809">
        <v>199</v>
      </c>
      <c r="Y55" s="809">
        <v>200</v>
      </c>
      <c r="Z55" s="809">
        <v>208</v>
      </c>
      <c r="AA55" s="809">
        <v>209</v>
      </c>
      <c r="AB55" s="34"/>
    </row>
    <row r="56" spans="1:28" ht="12.75" hidden="1" customHeight="1">
      <c r="A56" s="739"/>
      <c r="B56" s="34"/>
      <c r="C56" s="739"/>
      <c r="D56" s="739" t="s">
        <v>1315</v>
      </c>
      <c r="E56" s="34"/>
      <c r="F56" s="34"/>
      <c r="G56" s="45"/>
      <c r="H56" s="1301"/>
      <c r="I56" s="1301"/>
      <c r="J56" s="1301"/>
      <c r="K56" s="1301"/>
      <c r="L56" s="1301"/>
      <c r="M56" s="1301"/>
      <c r="N56" s="1301">
        <v>4.24</v>
      </c>
      <c r="O56" s="1301">
        <v>14.74</v>
      </c>
      <c r="P56" s="1301">
        <v>0</v>
      </c>
      <c r="Q56" s="1301"/>
      <c r="R56" s="1301">
        <v>38.450000000000003</v>
      </c>
      <c r="S56" s="1301">
        <v>4.46</v>
      </c>
      <c r="T56" s="34">
        <v>6.24</v>
      </c>
      <c r="U56" s="34">
        <v>4.2</v>
      </c>
      <c r="V56" s="34">
        <v>6.2</v>
      </c>
      <c r="W56" s="34">
        <v>7.54</v>
      </c>
      <c r="X56" s="34">
        <v>7.77</v>
      </c>
      <c r="Y56" s="34">
        <v>7.82</v>
      </c>
      <c r="Z56" s="34">
        <v>8.14</v>
      </c>
      <c r="AA56" s="34">
        <v>8.14</v>
      </c>
      <c r="AB56" s="34"/>
    </row>
    <row r="57" spans="1:28" ht="12.75" hidden="1" customHeight="1">
      <c r="A57" s="739" t="s">
        <v>1320</v>
      </c>
      <c r="B57" s="34"/>
      <c r="C57" s="739"/>
      <c r="D57" s="739" t="s">
        <v>336</v>
      </c>
      <c r="E57" s="34"/>
      <c r="F57" s="1305">
        <v>99.951999999999998</v>
      </c>
      <c r="G57" s="809">
        <v>29.393000000000001</v>
      </c>
      <c r="H57" s="809">
        <v>142.47900000000001</v>
      </c>
      <c r="I57" s="809">
        <v>0</v>
      </c>
      <c r="J57" s="809">
        <v>22.63</v>
      </c>
      <c r="K57" s="809">
        <v>17.399999999999999</v>
      </c>
      <c r="L57" s="809">
        <v>86.388000000000005</v>
      </c>
      <c r="M57" s="809">
        <v>79.406000000000006</v>
      </c>
      <c r="N57" s="809">
        <v>300</v>
      </c>
      <c r="O57" s="809">
        <v>62.009</v>
      </c>
      <c r="P57" s="1304"/>
      <c r="Q57" s="809"/>
      <c r="R57" s="809">
        <v>68.494</v>
      </c>
      <c r="S57" s="809">
        <v>69.400000000000006</v>
      </c>
      <c r="T57" s="809"/>
      <c r="U57" s="809">
        <v>152</v>
      </c>
      <c r="V57" s="809">
        <v>226</v>
      </c>
      <c r="W57" s="809">
        <v>308</v>
      </c>
      <c r="X57" s="809">
        <v>278</v>
      </c>
      <c r="Y57" s="809">
        <v>286</v>
      </c>
      <c r="Z57" s="809">
        <v>292</v>
      </c>
      <c r="AA57" s="809">
        <v>337</v>
      </c>
      <c r="AB57" s="34"/>
    </row>
    <row r="58" spans="1:28" ht="12.75" hidden="1" customHeight="1">
      <c r="A58" s="739"/>
      <c r="B58" s="34"/>
      <c r="C58" s="739"/>
      <c r="D58" s="739" t="s">
        <v>1315</v>
      </c>
      <c r="E58" s="34"/>
      <c r="F58" s="739"/>
      <c r="G58" s="45"/>
      <c r="H58" s="1301"/>
      <c r="I58" s="1301"/>
      <c r="J58" s="1301"/>
      <c r="K58" s="1301"/>
      <c r="L58" s="1301"/>
      <c r="M58" s="1301"/>
      <c r="N58" s="1301">
        <v>18.75</v>
      </c>
      <c r="O58" s="1301">
        <v>3.88</v>
      </c>
      <c r="P58" s="1306"/>
      <c r="Q58" s="1301"/>
      <c r="R58" s="1301">
        <v>4.28</v>
      </c>
      <c r="S58" s="1301">
        <v>4.34</v>
      </c>
      <c r="T58" s="34">
        <v>6</v>
      </c>
      <c r="U58" s="34">
        <v>8.8000000000000007</v>
      </c>
      <c r="V58" s="34">
        <v>12.03</v>
      </c>
      <c r="W58" s="34">
        <v>10.84</v>
      </c>
      <c r="X58" s="34">
        <v>11.14</v>
      </c>
      <c r="Y58" s="34">
        <v>11</v>
      </c>
      <c r="Z58" s="34">
        <v>11.38</v>
      </c>
      <c r="AA58" s="34">
        <v>13.16</v>
      </c>
      <c r="AB58" s="34"/>
    </row>
    <row r="59" spans="1:28" ht="12.75" hidden="1" customHeight="1">
      <c r="A59" s="739" t="s">
        <v>269</v>
      </c>
      <c r="B59" s="34"/>
      <c r="C59" s="739"/>
      <c r="D59" s="739" t="s">
        <v>336</v>
      </c>
      <c r="E59" s="34"/>
      <c r="F59" s="739"/>
      <c r="G59" s="45"/>
      <c r="H59" s="1301"/>
      <c r="I59" s="1301"/>
      <c r="J59" s="1301"/>
      <c r="K59" s="1301"/>
      <c r="L59" s="1301"/>
      <c r="M59" s="1301"/>
      <c r="N59" s="1301"/>
      <c r="O59" s="1301"/>
      <c r="P59" s="1301"/>
      <c r="Q59" s="1301"/>
      <c r="R59" s="1301"/>
      <c r="S59" s="1301"/>
      <c r="T59" s="34"/>
      <c r="U59" s="34"/>
      <c r="V59" s="34"/>
      <c r="W59" s="34"/>
      <c r="X59" s="34"/>
      <c r="Y59" s="809">
        <v>486</v>
      </c>
      <c r="Z59" s="809">
        <v>500</v>
      </c>
      <c r="AA59" s="809">
        <v>546</v>
      </c>
      <c r="AB59" s="34"/>
    </row>
    <row r="60" spans="1:28" ht="12.75" hidden="1" customHeight="1">
      <c r="A60" s="739"/>
      <c r="B60" s="34"/>
      <c r="C60" s="739"/>
      <c r="D60" s="739"/>
      <c r="E60" s="34"/>
      <c r="F60" s="739"/>
      <c r="G60" s="45"/>
      <c r="H60" s="1301"/>
      <c r="I60" s="1301"/>
      <c r="J60" s="1301"/>
      <c r="K60" s="1301"/>
      <c r="L60" s="1301"/>
      <c r="M60" s="1301"/>
      <c r="N60" s="1301"/>
      <c r="O60" s="1301"/>
      <c r="P60" s="1301"/>
      <c r="Q60" s="1301"/>
      <c r="R60" s="1301"/>
      <c r="S60" s="1301"/>
      <c r="T60" s="34"/>
      <c r="U60" s="34"/>
      <c r="V60" s="34"/>
      <c r="W60" s="34"/>
      <c r="X60" s="34"/>
      <c r="Y60" s="34"/>
      <c r="Z60" s="34"/>
      <c r="AA60" s="34"/>
      <c r="AB60" s="34"/>
    </row>
    <row r="61" spans="1:28" ht="12.75" hidden="1" customHeight="1">
      <c r="A61" s="810" t="s">
        <v>1321</v>
      </c>
      <c r="B61" s="34"/>
      <c r="C61" s="739"/>
      <c r="D61" s="739"/>
      <c r="E61" s="34"/>
      <c r="F61" s="739"/>
      <c r="G61" s="45"/>
      <c r="H61" s="1301"/>
      <c r="I61" s="1301"/>
      <c r="J61" s="1301"/>
      <c r="K61" s="1301"/>
      <c r="L61" s="1301"/>
      <c r="M61" s="1301"/>
      <c r="N61" s="1301"/>
      <c r="O61" s="1301"/>
      <c r="P61" s="1301"/>
      <c r="Q61" s="1301"/>
      <c r="R61" s="1301"/>
      <c r="S61" s="1301"/>
      <c r="T61" s="34"/>
      <c r="U61" s="34"/>
      <c r="V61" s="34"/>
      <c r="W61" s="34"/>
      <c r="X61" s="34"/>
      <c r="Y61" s="34"/>
      <c r="Z61" s="34"/>
      <c r="AA61" s="34"/>
      <c r="AB61" s="34"/>
    </row>
    <row r="62" spans="1:28" ht="12.75" hidden="1" customHeight="1">
      <c r="A62" s="739" t="s">
        <v>1322</v>
      </c>
      <c r="B62" s="34"/>
      <c r="C62" s="739"/>
      <c r="D62" s="739"/>
      <c r="E62" s="34"/>
      <c r="F62" s="739"/>
      <c r="G62" s="45"/>
      <c r="H62" s="1301"/>
      <c r="I62" s="1301"/>
      <c r="J62" s="1301"/>
      <c r="K62" s="1301"/>
      <c r="L62" s="1301"/>
      <c r="M62" s="1301"/>
      <c r="N62" s="1301"/>
      <c r="O62" s="1301"/>
      <c r="P62" s="1301"/>
      <c r="Q62" s="1301"/>
      <c r="R62" s="1301"/>
      <c r="S62" s="1301"/>
      <c r="T62" s="34"/>
      <c r="U62" s="34">
        <v>207</v>
      </c>
      <c r="V62" s="34">
        <v>207</v>
      </c>
      <c r="W62" s="34">
        <v>215</v>
      </c>
      <c r="X62" s="34">
        <v>223</v>
      </c>
      <c r="Y62" s="34">
        <v>229</v>
      </c>
      <c r="Z62" s="34">
        <v>275</v>
      </c>
      <c r="AA62" s="34">
        <v>287</v>
      </c>
      <c r="AB62" s="34"/>
    </row>
    <row r="63" spans="1:28" ht="12.75" hidden="1" customHeight="1">
      <c r="A63" s="739"/>
      <c r="B63" s="34"/>
      <c r="C63" s="739"/>
      <c r="D63" s="739" t="s">
        <v>1315</v>
      </c>
      <c r="E63" s="34"/>
      <c r="F63" s="739"/>
      <c r="G63" s="45"/>
      <c r="H63" s="1301"/>
      <c r="I63" s="1301"/>
      <c r="J63" s="1301"/>
      <c r="K63" s="1301"/>
      <c r="L63" s="1301"/>
      <c r="M63" s="1301"/>
      <c r="N63" s="1301"/>
      <c r="O63" s="1301"/>
      <c r="P63" s="1301"/>
      <c r="Q63" s="1301"/>
      <c r="R63" s="1301"/>
      <c r="S63" s="1301"/>
      <c r="T63" s="34"/>
      <c r="U63" s="34">
        <v>6.8</v>
      </c>
      <c r="V63" s="34">
        <v>8.08</v>
      </c>
      <c r="W63" s="34">
        <v>8.4</v>
      </c>
      <c r="X63" s="34">
        <v>8.6999999999999993</v>
      </c>
      <c r="Y63" s="34">
        <v>8.94</v>
      </c>
      <c r="Z63" s="34">
        <v>10.72</v>
      </c>
      <c r="AA63" s="34">
        <v>11.2</v>
      </c>
      <c r="AB63" s="34"/>
    </row>
    <row r="64" spans="1:28" ht="12.75" hidden="1" customHeight="1">
      <c r="A64" s="739" t="s">
        <v>1323</v>
      </c>
      <c r="B64" s="34"/>
      <c r="C64" s="739"/>
      <c r="D64" s="739" t="s">
        <v>336</v>
      </c>
      <c r="E64" s="34"/>
      <c r="F64" s="739"/>
      <c r="G64" s="45"/>
      <c r="H64" s="1301"/>
      <c r="I64" s="1301"/>
      <c r="J64" s="1301"/>
      <c r="K64" s="1301"/>
      <c r="L64" s="1301"/>
      <c r="M64" s="1301"/>
      <c r="N64" s="1301"/>
      <c r="O64" s="1301"/>
      <c r="P64" s="1301"/>
      <c r="Q64" s="1301"/>
      <c r="R64" s="1301"/>
      <c r="S64" s="1301"/>
      <c r="T64" s="34"/>
      <c r="U64" s="34">
        <v>51</v>
      </c>
      <c r="V64" s="34">
        <v>101</v>
      </c>
      <c r="W64" s="34">
        <v>63</v>
      </c>
      <c r="X64" s="34">
        <v>63</v>
      </c>
      <c r="Y64" s="34">
        <v>63</v>
      </c>
      <c r="Z64" s="34">
        <v>63</v>
      </c>
      <c r="AA64" s="34">
        <v>0</v>
      </c>
      <c r="AB64" s="34"/>
    </row>
    <row r="65" spans="1:29" ht="12.75" hidden="1" customHeight="1">
      <c r="A65" s="739"/>
      <c r="B65" s="34"/>
      <c r="C65" s="739"/>
      <c r="D65" s="739" t="s">
        <v>1315</v>
      </c>
      <c r="E65" s="34"/>
      <c r="F65" s="739"/>
      <c r="G65" s="45"/>
      <c r="H65" s="1301"/>
      <c r="I65" s="1301"/>
      <c r="J65" s="1301"/>
      <c r="K65" s="1301"/>
      <c r="L65" s="1301"/>
      <c r="M65" s="1301"/>
      <c r="N65" s="1301"/>
      <c r="O65" s="1301"/>
      <c r="P65" s="1301"/>
      <c r="Q65" s="1301"/>
      <c r="R65" s="1301"/>
      <c r="S65" s="1301"/>
      <c r="T65" s="34"/>
      <c r="U65" s="690">
        <v>2</v>
      </c>
      <c r="V65" s="34">
        <v>3.95</v>
      </c>
      <c r="W65" s="34">
        <v>2.44</v>
      </c>
      <c r="X65" s="34">
        <v>2.44</v>
      </c>
      <c r="Y65" s="34">
        <v>2.44</v>
      </c>
      <c r="Z65" s="34">
        <v>2.44</v>
      </c>
      <c r="AA65" s="690">
        <v>0</v>
      </c>
      <c r="AB65" s="34"/>
    </row>
    <row r="66" spans="1:29" ht="12.75" hidden="1" customHeight="1">
      <c r="A66" s="739"/>
      <c r="B66" s="34"/>
      <c r="C66" s="739"/>
      <c r="D66" s="739"/>
      <c r="E66" s="34"/>
      <c r="F66" s="739"/>
      <c r="G66" s="45"/>
      <c r="H66" s="1301"/>
      <c r="I66" s="1301"/>
      <c r="J66" s="1301"/>
      <c r="K66" s="1301"/>
      <c r="L66" s="1301"/>
      <c r="M66" s="1301"/>
      <c r="N66" s="1301"/>
      <c r="O66" s="1301"/>
      <c r="P66" s="1301"/>
      <c r="Q66" s="1301"/>
      <c r="R66" s="1301"/>
      <c r="S66" s="1301"/>
      <c r="T66" s="34"/>
      <c r="U66" s="34"/>
      <c r="V66" s="34"/>
      <c r="W66" s="34"/>
      <c r="X66" s="34"/>
      <c r="Y66" s="34"/>
      <c r="Z66" s="34"/>
      <c r="AA66" s="34"/>
      <c r="AB66" s="34"/>
    </row>
    <row r="67" spans="1:29" ht="12.75" hidden="1" customHeight="1">
      <c r="A67" s="810" t="s">
        <v>1324</v>
      </c>
      <c r="B67" s="34"/>
      <c r="C67" s="739"/>
      <c r="D67" s="739" t="s">
        <v>336</v>
      </c>
      <c r="E67" s="34"/>
      <c r="F67" s="809">
        <v>10</v>
      </c>
      <c r="G67" s="809">
        <v>15.749000000000001</v>
      </c>
      <c r="H67" s="809">
        <v>22.164999999999999</v>
      </c>
      <c r="I67" s="809">
        <v>17.16</v>
      </c>
      <c r="J67" s="809">
        <v>10.494</v>
      </c>
      <c r="K67" s="809">
        <v>57.813000000000002</v>
      </c>
      <c r="L67" s="809">
        <v>64.403999999999996</v>
      </c>
      <c r="M67" s="809">
        <v>85.671000000000006</v>
      </c>
      <c r="N67" s="809">
        <v>100.61799999999999</v>
      </c>
      <c r="O67" s="809">
        <v>32.65</v>
      </c>
      <c r="P67" s="809">
        <v>54.594999999999999</v>
      </c>
      <c r="Q67" s="809"/>
      <c r="R67" s="809">
        <v>1.76</v>
      </c>
      <c r="S67" s="809">
        <v>15.9</v>
      </c>
      <c r="T67" s="809">
        <v>50.8</v>
      </c>
      <c r="U67" s="809">
        <v>51</v>
      </c>
      <c r="V67" s="809">
        <v>24</v>
      </c>
      <c r="W67" s="809">
        <v>44</v>
      </c>
      <c r="X67" s="809">
        <v>35</v>
      </c>
      <c r="Y67" s="809">
        <v>29</v>
      </c>
      <c r="Z67" s="809">
        <v>64</v>
      </c>
      <c r="AA67" s="809">
        <v>94</v>
      </c>
      <c r="AB67" s="34"/>
    </row>
    <row r="68" spans="1:29">
      <c r="A68" s="810"/>
      <c r="B68" s="34"/>
      <c r="C68" s="739"/>
      <c r="D68" s="739"/>
      <c r="E68" s="34"/>
      <c r="F68" s="809"/>
      <c r="G68" s="809"/>
      <c r="H68" s="809"/>
      <c r="I68" s="809"/>
      <c r="J68" s="809"/>
      <c r="K68" s="809"/>
      <c r="L68" s="809"/>
      <c r="M68" s="809"/>
      <c r="N68" s="809"/>
      <c r="O68" s="809"/>
      <c r="P68" s="809"/>
      <c r="Q68" s="809"/>
      <c r="R68" s="809"/>
      <c r="S68" s="809"/>
      <c r="T68" s="809"/>
      <c r="U68" s="809"/>
      <c r="V68" s="809"/>
      <c r="W68" s="809"/>
      <c r="X68" s="809"/>
      <c r="Y68" s="809"/>
      <c r="Z68" s="809"/>
      <c r="AA68" s="34"/>
      <c r="AB68" s="34"/>
    </row>
    <row r="69" spans="1:29">
      <c r="A69" s="1299" t="s">
        <v>1325</v>
      </c>
      <c r="B69" s="734"/>
      <c r="C69" s="801"/>
      <c r="D69" s="801"/>
      <c r="E69" s="1140"/>
      <c r="F69" s="739"/>
      <c r="G69" s="45"/>
      <c r="H69" s="1301"/>
      <c r="I69" s="1301"/>
      <c r="J69" s="1301"/>
      <c r="K69" s="1301"/>
      <c r="L69" s="1301"/>
      <c r="M69" s="1301"/>
      <c r="N69" s="1301"/>
      <c r="O69" s="1301"/>
      <c r="P69" s="1301"/>
      <c r="Q69" s="1301"/>
    </row>
    <row r="70" spans="1:29">
      <c r="A70" s="739" t="s">
        <v>1326</v>
      </c>
      <c r="B70" s="34"/>
      <c r="C70" s="739"/>
      <c r="D70" s="45"/>
      <c r="E70" s="45"/>
      <c r="F70" s="337">
        <v>1600000.0020000001</v>
      </c>
      <c r="G70" s="337">
        <v>1600000.0020000001</v>
      </c>
      <c r="H70" s="337">
        <v>1600000.0020000001</v>
      </c>
      <c r="I70" s="337">
        <v>1600000.0020000001</v>
      </c>
      <c r="J70" s="337">
        <v>1600000.0020000001</v>
      </c>
      <c r="K70" s="337">
        <v>1600000.0020000001</v>
      </c>
      <c r="L70" s="337">
        <v>1600000.0020000001</v>
      </c>
      <c r="M70" s="337">
        <v>1600000.0020000001</v>
      </c>
      <c r="N70" s="337">
        <v>1600000.0020000001</v>
      </c>
      <c r="O70" s="337">
        <v>1600000.0020000001</v>
      </c>
      <c r="P70" s="337">
        <v>1600000.0020000001</v>
      </c>
      <c r="Q70" s="337"/>
      <c r="R70" s="755">
        <v>629068222</v>
      </c>
      <c r="S70" s="755">
        <v>629068222</v>
      </c>
      <c r="T70" s="755">
        <v>629068222</v>
      </c>
      <c r="U70" s="755">
        <v>629068222</v>
      </c>
      <c r="V70" s="755">
        <v>629068222</v>
      </c>
      <c r="W70" s="755">
        <v>629068222</v>
      </c>
      <c r="X70" s="755">
        <v>629068222</v>
      </c>
      <c r="Y70" s="755">
        <v>629068222</v>
      </c>
      <c r="Z70" s="755">
        <v>629068222</v>
      </c>
      <c r="AA70" s="755">
        <v>629068222</v>
      </c>
      <c r="AB70" s="755">
        <v>629068222</v>
      </c>
    </row>
    <row r="71" spans="1:29">
      <c r="A71" s="739" t="s">
        <v>1327</v>
      </c>
      <c r="B71" s="34"/>
      <c r="C71" s="739"/>
      <c r="D71" s="45"/>
      <c r="E71" s="45"/>
      <c r="F71" s="695"/>
      <c r="G71" s="695"/>
      <c r="H71" s="695"/>
      <c r="I71" s="695"/>
      <c r="J71" s="695"/>
      <c r="K71" s="695"/>
      <c r="L71" s="695"/>
      <c r="M71" s="695"/>
      <c r="N71" s="695"/>
      <c r="O71" s="695"/>
      <c r="P71" s="695"/>
      <c r="Q71" s="694"/>
      <c r="R71" s="694"/>
      <c r="S71" s="1307"/>
      <c r="T71" s="1307"/>
      <c r="U71" s="1307"/>
      <c r="V71" s="1307"/>
      <c r="W71" s="1307"/>
      <c r="X71" s="1307"/>
      <c r="Y71" s="1307"/>
      <c r="Z71" s="1308"/>
      <c r="AA71" s="1308"/>
      <c r="AB71" s="1308"/>
    </row>
    <row r="72" spans="1:29">
      <c r="A72" s="739"/>
      <c r="B72" s="34" t="s">
        <v>1328</v>
      </c>
      <c r="C72" s="739"/>
      <c r="D72" s="45"/>
      <c r="E72" s="45"/>
      <c r="F72" s="694"/>
      <c r="G72" s="694"/>
      <c r="H72" s="694"/>
      <c r="I72" s="694"/>
      <c r="J72" s="694"/>
      <c r="K72" s="694"/>
      <c r="L72" s="694"/>
      <c r="M72" s="694"/>
      <c r="N72" s="694"/>
      <c r="O72" s="694"/>
      <c r="P72" s="694"/>
      <c r="Q72" s="694"/>
      <c r="R72" s="755">
        <v>629068222</v>
      </c>
      <c r="S72" s="1307">
        <v>706848891</v>
      </c>
      <c r="T72" s="1307">
        <v>730014741</v>
      </c>
      <c r="U72" s="1307">
        <v>733377089</v>
      </c>
      <c r="V72" s="1307">
        <v>733793826</v>
      </c>
      <c r="W72" s="1307">
        <v>736016721</v>
      </c>
      <c r="X72" s="1307">
        <v>715586571</v>
      </c>
      <c r="Y72" s="1307">
        <v>716154227</v>
      </c>
      <c r="Z72" s="1307">
        <v>716715206</v>
      </c>
      <c r="AA72" s="1307">
        <v>718964789</v>
      </c>
      <c r="AB72" s="1307">
        <v>739042889</v>
      </c>
    </row>
    <row r="73" spans="1:29">
      <c r="A73" s="739" t="s">
        <v>1329</v>
      </c>
      <c r="B73" s="34"/>
      <c r="C73" s="739"/>
      <c r="D73" s="631" t="s">
        <v>43</v>
      </c>
      <c r="E73" s="631"/>
      <c r="F73" s="337">
        <v>1600000.0020000001</v>
      </c>
      <c r="G73" s="337">
        <v>1600000.0020000001</v>
      </c>
      <c r="H73" s="337">
        <v>1600000.0020000001</v>
      </c>
      <c r="I73" s="337">
        <v>1600000.0020000001</v>
      </c>
      <c r="J73" s="337">
        <v>1600000.0020000001</v>
      </c>
      <c r="K73" s="337">
        <v>1600000.0020000001</v>
      </c>
      <c r="L73" s="337">
        <v>1600000.0020000001</v>
      </c>
      <c r="M73" s="337">
        <v>1600000.0020000001</v>
      </c>
      <c r="N73" s="337">
        <v>1600000.0020000001</v>
      </c>
      <c r="O73" s="337">
        <v>1600000.0020000001</v>
      </c>
      <c r="P73" s="337">
        <v>1600000.0020000001</v>
      </c>
      <c r="Q73" s="337"/>
      <c r="R73" s="755">
        <v>1412860</v>
      </c>
      <c r="S73" s="616">
        <v>1534000</v>
      </c>
      <c r="T73" s="616">
        <v>1605000</v>
      </c>
      <c r="U73" s="616">
        <v>1605000</v>
      </c>
      <c r="V73" s="616">
        <v>1605000</v>
      </c>
      <c r="W73" s="616">
        <v>1515000</v>
      </c>
      <c r="X73" s="616">
        <v>1515000</v>
      </c>
      <c r="Y73" s="616">
        <v>1520000</v>
      </c>
      <c r="Z73" s="616">
        <v>1523000</v>
      </c>
      <c r="AA73" s="616">
        <v>1528000</v>
      </c>
      <c r="AB73" s="616">
        <v>1922000</v>
      </c>
    </row>
    <row r="74" spans="1:29">
      <c r="A74" s="869"/>
      <c r="B74" s="43"/>
      <c r="C74" s="869"/>
      <c r="D74" s="700"/>
      <c r="E74" s="700"/>
      <c r="F74" s="1309"/>
      <c r="G74" s="1309"/>
      <c r="H74" s="1309"/>
      <c r="I74" s="1309"/>
      <c r="J74" s="1309"/>
      <c r="K74" s="1309"/>
      <c r="L74" s="1309"/>
      <c r="M74" s="1309"/>
      <c r="N74" s="1309"/>
      <c r="O74" s="1309"/>
      <c r="P74" s="1309"/>
      <c r="Q74" s="1309"/>
      <c r="R74" s="759"/>
      <c r="S74" s="1310"/>
      <c r="T74" s="1310"/>
      <c r="U74" s="1310"/>
      <c r="V74" s="1310"/>
      <c r="W74" s="1310"/>
      <c r="X74" s="1310"/>
      <c r="Y74" s="43"/>
      <c r="Z74" s="43"/>
      <c r="AA74" s="43"/>
      <c r="AB74" s="43"/>
    </row>
    <row r="75" spans="1:29" ht="26.25">
      <c r="A75" s="1592"/>
      <c r="B75" s="1592"/>
      <c r="C75" s="1592"/>
      <c r="D75" s="1592"/>
      <c r="E75" s="1592"/>
      <c r="F75" s="1345"/>
      <c r="G75" s="1345"/>
      <c r="H75" s="1345"/>
      <c r="I75" s="1158"/>
      <c r="J75" s="1158"/>
      <c r="K75" s="1158"/>
      <c r="L75" s="1158"/>
      <c r="M75" s="1442"/>
      <c r="N75" s="1442"/>
      <c r="O75" s="1443"/>
      <c r="P75" s="1444"/>
      <c r="Q75" s="1388"/>
      <c r="R75" s="1593"/>
      <c r="S75" s="1593"/>
      <c r="T75" s="1593"/>
      <c r="U75" s="1596"/>
      <c r="V75" s="1597"/>
      <c r="W75" s="1584" t="s">
        <v>444</v>
      </c>
      <c r="X75" s="1585"/>
      <c r="Y75" s="1585"/>
      <c r="Z75" s="1585"/>
      <c r="AA75" s="1586"/>
      <c r="AB75" s="1346">
        <v>6.3</v>
      </c>
      <c r="AC75" s="684"/>
    </row>
    <row r="76" spans="1:29" ht="15.75">
      <c r="A76" s="630" t="s">
        <v>444</v>
      </c>
      <c r="B76" s="747"/>
      <c r="C76" s="748"/>
      <c r="D76" s="749"/>
      <c r="E76" s="34"/>
      <c r="F76" s="34">
        <v>0</v>
      </c>
      <c r="G76" s="34">
        <v>1</v>
      </c>
      <c r="H76" s="34">
        <v>2</v>
      </c>
      <c r="I76" s="34">
        <v>3</v>
      </c>
      <c r="J76" s="34">
        <v>4</v>
      </c>
      <c r="K76" s="34">
        <v>5</v>
      </c>
      <c r="L76" s="34">
        <v>6</v>
      </c>
      <c r="M76" s="34">
        <v>7</v>
      </c>
      <c r="N76" s="34">
        <v>8</v>
      </c>
      <c r="O76" s="34">
        <v>9</v>
      </c>
      <c r="P76" s="34">
        <v>10</v>
      </c>
      <c r="Q76" s="34"/>
      <c r="R76" s="34">
        <v>0</v>
      </c>
      <c r="S76" s="34">
        <v>1</v>
      </c>
      <c r="T76" s="34">
        <v>2</v>
      </c>
      <c r="U76" s="34">
        <v>3</v>
      </c>
      <c r="V76" s="34">
        <v>4</v>
      </c>
      <c r="W76" s="34">
        <v>5</v>
      </c>
      <c r="X76" s="34">
        <v>6</v>
      </c>
      <c r="Y76" s="34">
        <v>7</v>
      </c>
      <c r="Z76" s="34">
        <v>8</v>
      </c>
      <c r="AA76" s="34">
        <v>9</v>
      </c>
      <c r="AB76" s="34">
        <v>10</v>
      </c>
    </row>
    <row r="77" spans="1:29">
      <c r="A77" s="960"/>
      <c r="B77" s="6"/>
      <c r="C77" s="983"/>
      <c r="D77" s="983"/>
      <c r="E77" s="1276" t="s">
        <v>44</v>
      </c>
      <c r="F77" s="980">
        <v>1999</v>
      </c>
      <c r="G77" s="980">
        <v>2000</v>
      </c>
      <c r="H77" s="980">
        <v>2001</v>
      </c>
      <c r="I77" s="980">
        <v>2002</v>
      </c>
      <c r="J77" s="980">
        <v>2003</v>
      </c>
      <c r="K77" s="980">
        <v>2004</v>
      </c>
      <c r="L77" s="980">
        <v>2005</v>
      </c>
      <c r="M77" s="980">
        <v>2006</v>
      </c>
      <c r="N77" s="980">
        <v>2007</v>
      </c>
      <c r="O77" s="980">
        <v>2008</v>
      </c>
      <c r="P77" s="980">
        <v>2009</v>
      </c>
      <c r="Q77" s="980">
        <v>2010</v>
      </c>
      <c r="R77" s="980">
        <v>2011</v>
      </c>
      <c r="S77" s="980">
        <v>2012</v>
      </c>
      <c r="T77" s="980">
        <v>2013</v>
      </c>
      <c r="U77" s="980">
        <v>2014</v>
      </c>
      <c r="V77" s="980">
        <v>2015</v>
      </c>
      <c r="W77" s="980">
        <v>2016</v>
      </c>
      <c r="X77" s="980">
        <v>2017</v>
      </c>
      <c r="Y77" s="980">
        <v>2018</v>
      </c>
      <c r="Z77" s="980">
        <v>2019</v>
      </c>
      <c r="AA77" s="980">
        <v>2020</v>
      </c>
      <c r="AB77" s="980">
        <v>2021</v>
      </c>
      <c r="AC77" s="1127"/>
    </row>
    <row r="78" spans="1:29">
      <c r="A78" s="811" t="s">
        <v>445</v>
      </c>
      <c r="B78" s="811"/>
      <c r="C78" s="811"/>
      <c r="D78" s="1203"/>
      <c r="E78" s="1373">
        <v>1998</v>
      </c>
      <c r="F78" s="714"/>
      <c r="G78" s="714"/>
      <c r="H78" s="714"/>
      <c r="I78" s="714"/>
      <c r="J78" s="714"/>
      <c r="K78" s="714"/>
      <c r="L78" s="714"/>
      <c r="M78" s="714"/>
      <c r="N78" s="714"/>
      <c r="O78" s="714"/>
      <c r="P78" s="714"/>
      <c r="Q78" s="714"/>
      <c r="R78" s="714"/>
      <c r="S78" s="714"/>
      <c r="T78" s="714"/>
      <c r="U78" s="714"/>
      <c r="V78" s="714"/>
      <c r="W78" s="714"/>
      <c r="X78" s="714"/>
      <c r="Y78" s="714"/>
      <c r="Z78" s="714"/>
      <c r="AA78" s="714"/>
      <c r="AB78" s="34"/>
      <c r="AC78" s="34"/>
    </row>
    <row r="79" spans="1:29" ht="15">
      <c r="A79" s="1204"/>
      <c r="B79" s="1204"/>
      <c r="C79" s="1250" t="s">
        <v>431</v>
      </c>
      <c r="D79" s="1204"/>
      <c r="E79" s="34"/>
      <c r="F79" s="714"/>
      <c r="G79" s="714"/>
      <c r="H79" s="714"/>
      <c r="I79" s="714"/>
      <c r="J79" s="714"/>
      <c r="K79" s="714"/>
      <c r="L79" s="714"/>
      <c r="M79" s="714"/>
      <c r="N79" s="714"/>
      <c r="O79" s="714"/>
      <c r="P79" s="714"/>
      <c r="Q79" s="714"/>
      <c r="R79" s="714"/>
      <c r="S79" s="714"/>
      <c r="T79" s="714"/>
      <c r="U79" s="714"/>
      <c r="V79" s="714"/>
      <c r="W79" s="714"/>
      <c r="X79" s="714"/>
      <c r="Y79" s="714"/>
      <c r="Z79" s="714"/>
      <c r="AA79" s="714"/>
      <c r="AB79" s="34"/>
      <c r="AC79" s="34"/>
    </row>
    <row r="80" spans="1:29">
      <c r="A80" s="34"/>
      <c r="B80" s="34"/>
      <c r="C80" s="1366" t="s">
        <v>446</v>
      </c>
      <c r="D80" s="1367"/>
      <c r="E80" s="690">
        <v>5.38</v>
      </c>
      <c r="F80" s="812">
        <v>7.1714000000000002</v>
      </c>
      <c r="G80" s="812">
        <v>6.1494999999999997</v>
      </c>
      <c r="H80" s="812">
        <v>6.6215999999999999</v>
      </c>
      <c r="I80" s="812">
        <v>6.2770000000000001</v>
      </c>
      <c r="J80" s="812">
        <v>6.0488</v>
      </c>
      <c r="K80" s="812">
        <v>5.9526000000000003</v>
      </c>
      <c r="L80" s="812">
        <v>5.8304999999999998</v>
      </c>
      <c r="M80" s="812">
        <v>5.7671000000000001</v>
      </c>
      <c r="N80" s="812">
        <v>6.3949999999999996</v>
      </c>
      <c r="O80" s="812">
        <v>4.8771000000000004</v>
      </c>
      <c r="P80" s="812">
        <v>6.0174000000000003</v>
      </c>
      <c r="Q80" s="1234">
        <v>5.82</v>
      </c>
      <c r="R80" s="1235">
        <v>3.91</v>
      </c>
      <c r="S80" s="1235">
        <v>3.56</v>
      </c>
      <c r="T80" s="1235">
        <v>4.76</v>
      </c>
      <c r="U80" s="1235">
        <v>3.77</v>
      </c>
      <c r="V80" s="1235">
        <v>3.55</v>
      </c>
      <c r="W80" s="1235">
        <v>3.33</v>
      </c>
      <c r="X80" s="1235">
        <v>2.76</v>
      </c>
      <c r="Y80" s="1236">
        <v>2.4500000000000002</v>
      </c>
      <c r="Z80" s="1236">
        <v>1.53</v>
      </c>
      <c r="AA80" s="1236">
        <v>0.92</v>
      </c>
      <c r="AB80" s="1237">
        <v>2.37</v>
      </c>
      <c r="AC80" s="34"/>
    </row>
    <row r="81" spans="1:32">
      <c r="A81" s="34"/>
      <c r="B81" s="34"/>
      <c r="C81" s="1368" t="s">
        <v>447</v>
      </c>
      <c r="D81" s="1369"/>
      <c r="E81" s="690">
        <v>6.74</v>
      </c>
      <c r="F81" s="813">
        <v>6.5148000000000001</v>
      </c>
      <c r="G81" s="813">
        <v>7.4763000000000002</v>
      </c>
      <c r="H81" s="813">
        <v>6.0586000000000002</v>
      </c>
      <c r="I81" s="813">
        <v>6.5810000000000004</v>
      </c>
      <c r="J81" s="813">
        <v>6.1193</v>
      </c>
      <c r="K81" s="813">
        <v>5.9904999999999999</v>
      </c>
      <c r="L81" s="813">
        <v>5.9904999999999999</v>
      </c>
      <c r="M81" s="813">
        <v>5.7240000000000002</v>
      </c>
      <c r="N81" s="813">
        <v>5.9302000000000001</v>
      </c>
      <c r="O81" s="813">
        <v>6.2826000000000004</v>
      </c>
      <c r="P81" s="813">
        <v>4.4874999999999998</v>
      </c>
      <c r="Q81" s="1238">
        <v>5.9954999999999998</v>
      </c>
      <c r="R81" s="1239">
        <v>5.61</v>
      </c>
      <c r="S81" s="1239">
        <v>3.86</v>
      </c>
      <c r="T81" s="1239">
        <v>3.55</v>
      </c>
      <c r="U81" s="1239">
        <v>4.6399999999999997</v>
      </c>
      <c r="V81" s="1239">
        <v>3.42</v>
      </c>
      <c r="W81" s="1239">
        <v>3.31</v>
      </c>
      <c r="X81" s="1239">
        <v>3.23</v>
      </c>
      <c r="Y81" s="1240">
        <v>2.88</v>
      </c>
      <c r="Z81" s="1240">
        <v>2.33</v>
      </c>
      <c r="AA81" s="1240">
        <v>1.48</v>
      </c>
      <c r="AB81" s="1240">
        <v>1.04</v>
      </c>
      <c r="AC81" s="34"/>
    </row>
    <row r="82" spans="1:32">
      <c r="A82" s="34"/>
      <c r="B82" s="34"/>
      <c r="C82" s="1370" t="s">
        <v>448</v>
      </c>
      <c r="D82" s="1371"/>
      <c r="E82" s="690">
        <v>6.93</v>
      </c>
      <c r="F82" s="814">
        <v>5.8377999999999997</v>
      </c>
      <c r="G82" s="814">
        <v>7.0556999999999999</v>
      </c>
      <c r="H82" s="814">
        <v>5.95</v>
      </c>
      <c r="I82" s="814">
        <v>6.8840000000000003</v>
      </c>
      <c r="J82" s="814">
        <v>5.9123999999999999</v>
      </c>
      <c r="K82" s="814">
        <v>5.7411000000000003</v>
      </c>
      <c r="L82" s="814">
        <v>6.1614000000000004</v>
      </c>
      <c r="M82" s="815">
        <v>5.7187000000000001</v>
      </c>
      <c r="N82" s="814">
        <v>5.8685999999999998</v>
      </c>
      <c r="O82" s="814">
        <v>6.3628999999999998</v>
      </c>
      <c r="P82" s="814">
        <v>4.7744999999999997</v>
      </c>
      <c r="Q82" s="1241">
        <v>5.8582999999999998</v>
      </c>
      <c r="R82" s="1242">
        <v>5.58</v>
      </c>
      <c r="S82" s="1242">
        <v>4.17</v>
      </c>
      <c r="T82" s="1242">
        <v>3.72</v>
      </c>
      <c r="U82" s="1242">
        <v>4.58</v>
      </c>
      <c r="V82" s="1242">
        <v>3.3</v>
      </c>
      <c r="W82" s="1242">
        <v>3.02</v>
      </c>
      <c r="X82" s="1243">
        <v>3.28</v>
      </c>
      <c r="Y82" s="1243">
        <v>2.87</v>
      </c>
      <c r="Z82" s="1243">
        <v>2.02</v>
      </c>
      <c r="AA82" s="1243">
        <v>1.08</v>
      </c>
      <c r="AB82" s="1243">
        <v>1.76</v>
      </c>
      <c r="AC82" s="34"/>
    </row>
    <row r="83" spans="1:32">
      <c r="A83" s="34"/>
      <c r="B83" s="34"/>
      <c r="C83" s="1359" t="s">
        <v>44</v>
      </c>
      <c r="D83" s="1372"/>
      <c r="E83" s="690">
        <v>6.6</v>
      </c>
      <c r="F83" s="816">
        <v>6.5148000000000001</v>
      </c>
      <c r="G83" s="816">
        <v>6.8486000000000002</v>
      </c>
      <c r="H83" s="816">
        <v>6.6319999999999997</v>
      </c>
      <c r="I83" s="816">
        <v>6.64</v>
      </c>
      <c r="J83" s="816">
        <v>5.2308000000000003</v>
      </c>
      <c r="K83" s="816">
        <v>6.2876000000000003</v>
      </c>
      <c r="L83" s="816">
        <v>5.7110000000000003</v>
      </c>
      <c r="M83" s="817">
        <v>5.8376000000000001</v>
      </c>
      <c r="N83" s="816">
        <v>6.7169999999999996</v>
      </c>
      <c r="O83" s="816">
        <v>6.4153000000000002</v>
      </c>
      <c r="P83" s="816">
        <v>5.97</v>
      </c>
      <c r="Q83" s="1244">
        <v>5.5140000000000002</v>
      </c>
      <c r="R83" s="1245">
        <v>5.04</v>
      </c>
      <c r="S83" s="1245">
        <v>3.4</v>
      </c>
      <c r="T83" s="1245">
        <v>3.83</v>
      </c>
      <c r="U83" s="1245">
        <v>4.42</v>
      </c>
      <c r="V83" s="1245">
        <v>3.77</v>
      </c>
      <c r="W83" s="1245">
        <v>2.5099999999999998</v>
      </c>
      <c r="X83" s="1246">
        <v>2.77</v>
      </c>
      <c r="Y83" s="1244">
        <v>2.9</v>
      </c>
      <c r="Z83" s="1244">
        <v>1.63</v>
      </c>
      <c r="AA83" s="1246">
        <v>0.9</v>
      </c>
      <c r="AB83" s="1246">
        <v>1.76</v>
      </c>
      <c r="AC83" s="1111"/>
    </row>
    <row r="84" spans="1:32">
      <c r="A84" s="34"/>
      <c r="B84" s="1111"/>
      <c r="C84" s="1120"/>
      <c r="D84" s="1126"/>
      <c r="E84" s="1144"/>
      <c r="F84" s="1144"/>
      <c r="G84" s="1144"/>
      <c r="H84" s="1144"/>
      <c r="I84" s="1144"/>
      <c r="J84" s="1144"/>
      <c r="K84" s="1144"/>
      <c r="L84" s="1144"/>
      <c r="M84" s="1227"/>
      <c r="N84" s="1144"/>
      <c r="O84" s="1144"/>
      <c r="P84" s="1144"/>
      <c r="Q84" s="1251"/>
      <c r="R84" s="1252"/>
      <c r="S84" s="1252"/>
      <c r="T84" s="1252"/>
      <c r="U84" s="1252"/>
      <c r="V84" s="1252"/>
      <c r="W84" s="1252"/>
      <c r="X84" s="1253"/>
      <c r="Y84" s="1251"/>
      <c r="Z84" s="1251"/>
      <c r="AA84" s="1253"/>
      <c r="AB84" s="1253"/>
      <c r="AC84" s="34"/>
    </row>
    <row r="85" spans="1:32">
      <c r="A85" s="811" t="s">
        <v>449</v>
      </c>
      <c r="B85" s="802"/>
      <c r="C85" s="803"/>
      <c r="D85" s="734"/>
      <c r="E85" s="733"/>
      <c r="F85" s="34"/>
      <c r="G85" s="34"/>
      <c r="H85" s="34"/>
      <c r="I85" s="34"/>
      <c r="J85" s="34"/>
      <c r="K85" s="34"/>
      <c r="L85" s="34"/>
      <c r="M85" s="34"/>
      <c r="N85" s="34"/>
      <c r="O85" s="34"/>
      <c r="P85" s="34"/>
      <c r="Q85" s="613"/>
      <c r="R85" s="613"/>
      <c r="S85" s="613"/>
      <c r="T85" s="613"/>
      <c r="U85" s="613"/>
      <c r="V85" s="613"/>
      <c r="W85" s="613"/>
      <c r="X85" s="613"/>
      <c r="Y85" s="613"/>
      <c r="Z85" s="613"/>
      <c r="AA85" s="613"/>
      <c r="AB85" s="613"/>
      <c r="AC85" s="34"/>
    </row>
    <row r="86" spans="1:32" ht="15">
      <c r="A86" s="34"/>
      <c r="B86" s="34"/>
      <c r="C86" s="1250" t="s">
        <v>431</v>
      </c>
      <c r="D86" s="34"/>
      <c r="E86" s="1373">
        <v>1998</v>
      </c>
      <c r="F86" s="772"/>
      <c r="G86" s="772"/>
      <c r="H86" s="772"/>
      <c r="I86" s="772"/>
      <c r="J86" s="772"/>
      <c r="K86" s="772"/>
      <c r="L86" s="772"/>
      <c r="M86" s="772"/>
      <c r="N86" s="772"/>
      <c r="O86" s="772"/>
      <c r="P86" s="772"/>
      <c r="Q86" s="772"/>
      <c r="R86" s="772"/>
      <c r="S86" s="772"/>
      <c r="T86" s="772"/>
      <c r="U86" s="772"/>
      <c r="V86" s="772"/>
      <c r="W86" s="772"/>
      <c r="X86" s="772"/>
      <c r="Y86" s="772"/>
      <c r="Z86" s="714"/>
      <c r="AA86" s="714"/>
      <c r="AB86" s="613"/>
      <c r="AC86" s="34"/>
    </row>
    <row r="87" spans="1:32">
      <c r="A87" s="34"/>
      <c r="B87" s="34"/>
      <c r="C87" s="819" t="s">
        <v>446</v>
      </c>
      <c r="D87" s="1233"/>
      <c r="E87" s="690">
        <v>5.27</v>
      </c>
      <c r="F87" s="818">
        <v>6.9881000000000002</v>
      </c>
      <c r="G87" s="818">
        <v>6.1753</v>
      </c>
      <c r="H87" s="818">
        <v>6.1874000000000002</v>
      </c>
      <c r="I87" s="818">
        <v>5.9269999999999996</v>
      </c>
      <c r="J87" s="818">
        <v>5.9295</v>
      </c>
      <c r="K87" s="818">
        <v>5.9779</v>
      </c>
      <c r="L87" s="818">
        <v>5.9459999999999997</v>
      </c>
      <c r="M87" s="818">
        <v>6.2157999999999998</v>
      </c>
      <c r="N87" s="818">
        <v>7.1634000000000002</v>
      </c>
      <c r="O87" s="818">
        <v>4.5792999999999999</v>
      </c>
      <c r="P87" s="818">
        <v>5.4139999999999997</v>
      </c>
      <c r="Q87" s="1247">
        <v>4.79</v>
      </c>
      <c r="R87" s="1247">
        <v>3.39</v>
      </c>
      <c r="S87" s="1247">
        <v>2.91</v>
      </c>
      <c r="T87" s="1247">
        <v>4.2699999999999996</v>
      </c>
      <c r="U87" s="1247">
        <v>3.67</v>
      </c>
      <c r="V87" s="1247">
        <v>2.96</v>
      </c>
      <c r="W87" s="1247">
        <v>2.62</v>
      </c>
      <c r="X87" s="1248">
        <v>2.33</v>
      </c>
      <c r="Y87" s="1248">
        <v>1.92</v>
      </c>
      <c r="Z87" s="1249">
        <v>1.27</v>
      </c>
      <c r="AA87" s="1249">
        <v>0.34</v>
      </c>
      <c r="AB87" s="1237">
        <v>2.37</v>
      </c>
      <c r="AC87" s="34"/>
    </row>
    <row r="88" spans="1:32">
      <c r="A88" s="34"/>
      <c r="B88" s="34"/>
      <c r="C88" s="820" t="s">
        <v>447</v>
      </c>
      <c r="D88" s="1230"/>
      <c r="E88" s="690">
        <v>7.05</v>
      </c>
      <c r="F88" s="813">
        <v>5.41</v>
      </c>
      <c r="G88" s="813">
        <v>7.2836999999999996</v>
      </c>
      <c r="H88" s="813">
        <v>5.9856999999999996</v>
      </c>
      <c r="I88" s="813">
        <v>6.2466999999999997</v>
      </c>
      <c r="J88" s="813">
        <v>5.7971000000000004</v>
      </c>
      <c r="K88" s="813">
        <v>5.7888000000000002</v>
      </c>
      <c r="L88" s="813">
        <v>6.0381999999999998</v>
      </c>
      <c r="M88" s="813">
        <v>5.7714999999999996</v>
      </c>
      <c r="N88" s="813">
        <v>6.3018999999999998</v>
      </c>
      <c r="O88" s="813">
        <v>7.0061999999999998</v>
      </c>
      <c r="P88" s="813">
        <v>4.0258000000000003</v>
      </c>
      <c r="Q88" s="1238">
        <v>5.3446999999999996</v>
      </c>
      <c r="R88" s="1239">
        <v>4.6100000000000003</v>
      </c>
      <c r="S88" s="1239">
        <v>3.36</v>
      </c>
      <c r="T88" s="1239">
        <v>2.9</v>
      </c>
      <c r="U88" s="1239">
        <v>4.16</v>
      </c>
      <c r="V88" s="1239">
        <v>3.39</v>
      </c>
      <c r="W88" s="1239">
        <v>2.76</v>
      </c>
      <c r="X88" s="1239">
        <v>2.61</v>
      </c>
      <c r="Y88" s="1240">
        <v>2.42</v>
      </c>
      <c r="Z88" s="1240">
        <v>1.8</v>
      </c>
      <c r="AA88" s="1240">
        <v>1.21</v>
      </c>
      <c r="AB88" s="1240">
        <v>0.39</v>
      </c>
      <c r="AC88" s="34"/>
    </row>
    <row r="89" spans="1:32">
      <c r="A89" s="34"/>
      <c r="B89" s="34"/>
      <c r="C89" s="821" t="s">
        <v>448</v>
      </c>
      <c r="D89" s="1231"/>
      <c r="E89" s="690">
        <v>7.34</v>
      </c>
      <c r="F89" s="814">
        <v>5.5526</v>
      </c>
      <c r="G89" s="814">
        <v>7.0365000000000002</v>
      </c>
      <c r="H89" s="814">
        <v>5.7408999999999999</v>
      </c>
      <c r="I89" s="814">
        <v>6.6704999999999997</v>
      </c>
      <c r="J89" s="814">
        <v>5.4692999999999996</v>
      </c>
      <c r="K89" s="814">
        <v>5.5937000000000001</v>
      </c>
      <c r="L89" s="814">
        <v>6.2901999999999996</v>
      </c>
      <c r="M89" s="814">
        <v>5.8034999999999997</v>
      </c>
      <c r="N89" s="814">
        <v>6.5045000000000002</v>
      </c>
      <c r="O89" s="814">
        <v>6.6783999999999999</v>
      </c>
      <c r="P89" s="814">
        <v>4.0202</v>
      </c>
      <c r="Q89" s="1241">
        <v>5.0888999999999998</v>
      </c>
      <c r="R89" s="1242">
        <v>4.32</v>
      </c>
      <c r="S89" s="1242">
        <v>3.71</v>
      </c>
      <c r="T89" s="1242">
        <v>3.05</v>
      </c>
      <c r="U89" s="1242">
        <v>4.1100000000000003</v>
      </c>
      <c r="V89" s="1242">
        <v>3.21</v>
      </c>
      <c r="W89" s="1242">
        <v>2.41</v>
      </c>
      <c r="X89" s="1243">
        <v>2.56</v>
      </c>
      <c r="Y89" s="1243">
        <v>2.37</v>
      </c>
      <c r="Z89" s="1243">
        <v>1.59</v>
      </c>
      <c r="AA89" s="1243">
        <v>0.77</v>
      </c>
      <c r="AB89" s="1243">
        <v>1.03</v>
      </c>
      <c r="AC89" s="34"/>
    </row>
    <row r="90" spans="1:32">
      <c r="A90" s="34"/>
      <c r="B90" s="34"/>
      <c r="C90" s="716" t="s">
        <v>44</v>
      </c>
      <c r="D90" s="1232"/>
      <c r="E90" s="690">
        <v>6.94</v>
      </c>
      <c r="F90" s="816">
        <v>6.1467000000000001</v>
      </c>
      <c r="G90" s="816">
        <v>6.9405000000000001</v>
      </c>
      <c r="H90" s="816">
        <v>6.4480000000000004</v>
      </c>
      <c r="I90" s="816">
        <v>6.48</v>
      </c>
      <c r="J90" s="816">
        <v>4.8419999999999996</v>
      </c>
      <c r="K90" s="816">
        <v>6.1601999999999997</v>
      </c>
      <c r="L90" s="816">
        <v>5.8380999999999998</v>
      </c>
      <c r="M90" s="817">
        <v>5.9686000000000003</v>
      </c>
      <c r="N90" s="816">
        <v>7.1342999999999996</v>
      </c>
      <c r="O90" s="816">
        <v>6.4459999999999997</v>
      </c>
      <c r="P90" s="816">
        <v>4.7961999999999998</v>
      </c>
      <c r="Q90" s="1244">
        <v>4.8479000000000001</v>
      </c>
      <c r="R90" s="1245">
        <v>3.99</v>
      </c>
      <c r="S90" s="1245">
        <v>2.83</v>
      </c>
      <c r="T90" s="1245">
        <v>3.16</v>
      </c>
      <c r="U90" s="1245">
        <v>4.08</v>
      </c>
      <c r="V90" s="1245">
        <v>3.19</v>
      </c>
      <c r="W90" s="1245">
        <v>2.12</v>
      </c>
      <c r="X90" s="1246">
        <v>2.46</v>
      </c>
      <c r="Y90" s="1246">
        <v>2.2799999999999998</v>
      </c>
      <c r="Z90" s="1246">
        <v>1.3</v>
      </c>
      <c r="AA90" s="1246">
        <v>0.43</v>
      </c>
      <c r="AB90" s="1246">
        <v>1.03</v>
      </c>
      <c r="AC90" s="34"/>
    </row>
    <row r="91" spans="1:32">
      <c r="A91" s="1473" t="s">
        <v>1487</v>
      </c>
      <c r="B91" s="34"/>
      <c r="C91" s="1120"/>
      <c r="D91" s="1111"/>
      <c r="E91" s="1144"/>
      <c r="F91" s="1144"/>
      <c r="G91" s="1144"/>
      <c r="H91" s="1144"/>
      <c r="I91" s="1144"/>
      <c r="J91" s="1144"/>
      <c r="K91" s="1144"/>
      <c r="L91" s="1144"/>
      <c r="M91" s="1227"/>
      <c r="N91" s="1144"/>
      <c r="O91" s="1144"/>
      <c r="P91" s="1144"/>
      <c r="Q91" s="1144"/>
      <c r="R91" s="1228"/>
      <c r="S91" s="1228"/>
      <c r="T91" s="1228"/>
      <c r="U91" s="1228"/>
      <c r="V91" s="1228"/>
      <c r="W91" s="1228"/>
      <c r="X91" s="1229"/>
      <c r="Y91" s="1229"/>
      <c r="Z91" s="1229"/>
      <c r="AA91" s="1229"/>
      <c r="AB91" s="1229"/>
      <c r="AC91" s="34"/>
      <c r="AF91" s="1121"/>
    </row>
    <row r="92" spans="1:32" ht="12.75" hidden="1" customHeight="1">
      <c r="A92" s="801" t="s">
        <v>450</v>
      </c>
      <c r="B92" s="802"/>
      <c r="C92" s="803"/>
      <c r="D92" s="734"/>
      <c r="E92" s="733"/>
      <c r="F92" s="43"/>
      <c r="G92" s="43"/>
      <c r="H92" s="43"/>
      <c r="I92" s="43"/>
      <c r="J92" s="43"/>
      <c r="K92" s="43"/>
      <c r="L92" s="43"/>
      <c r="M92" s="43"/>
      <c r="N92" s="43"/>
      <c r="O92" s="43"/>
      <c r="P92" s="43"/>
      <c r="Q92" s="43"/>
      <c r="R92" s="43"/>
      <c r="S92" s="43"/>
      <c r="T92" s="43"/>
      <c r="U92" s="43"/>
      <c r="V92" s="43"/>
      <c r="W92" s="43"/>
      <c r="X92" s="43"/>
      <c r="Y92" s="43"/>
      <c r="Z92" s="43"/>
      <c r="AA92" s="43"/>
      <c r="AB92" s="34"/>
      <c r="AC92" s="34"/>
    </row>
    <row r="93" spans="1:32" ht="13.5" hidden="1" customHeight="1">
      <c r="A93" s="609"/>
      <c r="B93" s="609" t="s">
        <v>451</v>
      </c>
      <c r="C93" s="186"/>
      <c r="D93" s="34"/>
      <c r="E93" s="34"/>
      <c r="F93" s="34"/>
      <c r="G93" s="34"/>
      <c r="H93" s="822" t="s">
        <v>452</v>
      </c>
      <c r="I93" s="721">
        <v>5</v>
      </c>
      <c r="J93" s="721">
        <v>10</v>
      </c>
      <c r="K93" s="823" t="s">
        <v>453</v>
      </c>
      <c r="L93" s="34"/>
      <c r="M93" s="721" t="s">
        <v>452</v>
      </c>
      <c r="N93" s="721">
        <v>5</v>
      </c>
      <c r="O93" s="721">
        <v>10</v>
      </c>
      <c r="P93" s="823" t="s">
        <v>453</v>
      </c>
      <c r="Q93" s="721" t="s">
        <v>452</v>
      </c>
      <c r="R93" s="721">
        <v>5</v>
      </c>
      <c r="S93" s="721">
        <v>10</v>
      </c>
      <c r="T93" s="823" t="s">
        <v>453</v>
      </c>
      <c r="U93" s="721" t="s">
        <v>452</v>
      </c>
      <c r="V93" s="721">
        <v>5</v>
      </c>
      <c r="W93" s="721">
        <v>10</v>
      </c>
      <c r="X93" s="823" t="s">
        <v>453</v>
      </c>
      <c r="Y93" s="721" t="s">
        <v>452</v>
      </c>
      <c r="Z93" s="721">
        <v>5</v>
      </c>
      <c r="AA93" s="721">
        <v>10</v>
      </c>
      <c r="AB93" s="823" t="s">
        <v>453</v>
      </c>
    </row>
    <row r="94" spans="1:32" ht="12.75" hidden="1" customHeight="1">
      <c r="A94" s="824"/>
      <c r="B94" s="824"/>
      <c r="C94" s="34"/>
      <c r="D94" s="34"/>
      <c r="E94" s="34"/>
      <c r="F94" s="34"/>
      <c r="G94" s="34"/>
      <c r="H94" s="825">
        <v>35611</v>
      </c>
      <c r="I94" s="826">
        <v>6.99</v>
      </c>
      <c r="J94" s="827">
        <v>7.13</v>
      </c>
      <c r="K94" s="828">
        <v>0.13999999999999968</v>
      </c>
      <c r="L94" s="34"/>
      <c r="M94" s="825">
        <v>37802</v>
      </c>
      <c r="N94" s="826">
        <v>4.8419999999999996</v>
      </c>
      <c r="O94" s="829">
        <v>5.2308000000000003</v>
      </c>
      <c r="P94" s="828">
        <v>0.3888000000000007</v>
      </c>
      <c r="Q94" s="825">
        <v>39994</v>
      </c>
      <c r="R94" s="800">
        <v>4.7961999999999998</v>
      </c>
      <c r="S94" s="830">
        <v>5.97</v>
      </c>
      <c r="T94" s="831">
        <v>1.1738</v>
      </c>
      <c r="U94" s="825">
        <v>42185</v>
      </c>
      <c r="V94" s="832">
        <v>3.19</v>
      </c>
      <c r="W94" s="827">
        <v>3.77</v>
      </c>
      <c r="X94" s="826">
        <v>0.58000000000000007</v>
      </c>
      <c r="Y94" s="721" t="s">
        <v>452</v>
      </c>
      <c r="Z94" s="721">
        <v>5</v>
      </c>
      <c r="AA94" s="721">
        <v>10</v>
      </c>
      <c r="AB94" s="823" t="s">
        <v>453</v>
      </c>
    </row>
    <row r="95" spans="1:32" ht="12.75" hidden="1" customHeight="1">
      <c r="A95" s="714"/>
      <c r="B95" s="714"/>
      <c r="C95" s="34"/>
      <c r="D95" s="34"/>
      <c r="E95" s="34"/>
      <c r="F95" s="34"/>
      <c r="G95" s="34"/>
      <c r="H95" s="833">
        <v>35642</v>
      </c>
      <c r="I95" s="826">
        <v>6.81</v>
      </c>
      <c r="J95" s="826">
        <v>6.81</v>
      </c>
      <c r="K95" s="828">
        <v>0</v>
      </c>
      <c r="L95" s="34"/>
      <c r="M95" s="833">
        <v>37833</v>
      </c>
      <c r="N95" s="826">
        <v>5.0827999999999998</v>
      </c>
      <c r="O95" s="826">
        <v>5.5427999999999997</v>
      </c>
      <c r="P95" s="828">
        <v>0.45999999999999996</v>
      </c>
      <c r="Q95" s="825">
        <v>40025</v>
      </c>
      <c r="R95" s="826">
        <v>4.7153999999999998</v>
      </c>
      <c r="S95" s="826">
        <v>5.7497999999999996</v>
      </c>
      <c r="T95" s="828">
        <v>1.0343999999999998</v>
      </c>
      <c r="U95" s="834">
        <v>42216</v>
      </c>
      <c r="V95" s="835">
        <v>2.86</v>
      </c>
      <c r="W95" s="835">
        <v>3.47</v>
      </c>
      <c r="X95" s="690">
        <v>0.61000000000000032</v>
      </c>
      <c r="Y95" s="841">
        <v>44012</v>
      </c>
      <c r="Z95" s="855">
        <v>0.43</v>
      </c>
      <c r="AA95" s="1051">
        <v>0.9</v>
      </c>
      <c r="AB95" s="690">
        <v>0.47000000000000003</v>
      </c>
    </row>
    <row r="96" spans="1:32" ht="12.75" hidden="1" customHeight="1">
      <c r="A96" s="34"/>
      <c r="B96" s="34"/>
      <c r="C96" s="34"/>
      <c r="D96" s="34"/>
      <c r="E96" s="34"/>
      <c r="F96" s="34"/>
      <c r="G96" s="34"/>
      <c r="H96" s="833">
        <v>35673</v>
      </c>
      <c r="I96" s="826">
        <v>7.16</v>
      </c>
      <c r="J96" s="826">
        <v>7.05</v>
      </c>
      <c r="K96" s="828">
        <v>-0.11000000000000032</v>
      </c>
      <c r="L96" s="34"/>
      <c r="M96" s="833">
        <v>37864</v>
      </c>
      <c r="N96" s="826">
        <v>5.4413999999999998</v>
      </c>
      <c r="O96" s="826">
        <v>5.9139999999999997</v>
      </c>
      <c r="P96" s="828">
        <v>0.47259999999999991</v>
      </c>
      <c r="Q96" s="825">
        <v>40056</v>
      </c>
      <c r="R96" s="826">
        <v>4.9057000000000004</v>
      </c>
      <c r="S96" s="826">
        <v>5.8155000000000001</v>
      </c>
      <c r="T96" s="828">
        <v>0.90979999999999972</v>
      </c>
      <c r="U96" s="834">
        <v>42217</v>
      </c>
      <c r="V96" s="835">
        <v>2.69</v>
      </c>
      <c r="W96" s="835">
        <v>3.29</v>
      </c>
      <c r="X96" s="690">
        <v>0.60000000000000009</v>
      </c>
      <c r="Y96" s="849">
        <v>44043</v>
      </c>
      <c r="Z96" s="846">
        <v>0.42</v>
      </c>
      <c r="AA96" s="846">
        <v>0.91</v>
      </c>
      <c r="AB96" s="690">
        <v>0.49000000000000005</v>
      </c>
    </row>
    <row r="97" spans="1:28" ht="12.75" hidden="1" customHeight="1">
      <c r="A97" s="34"/>
      <c r="B97" s="34"/>
      <c r="C97" s="34"/>
      <c r="D97" s="34"/>
      <c r="E97" s="34"/>
      <c r="F97" s="34"/>
      <c r="G97" s="34"/>
      <c r="H97" s="833">
        <v>35703</v>
      </c>
      <c r="I97" s="826">
        <v>6.93</v>
      </c>
      <c r="J97" s="826">
        <v>6.88</v>
      </c>
      <c r="K97" s="828">
        <v>-4.9999999999999822E-2</v>
      </c>
      <c r="L97" s="34"/>
      <c r="M97" s="833">
        <v>37894</v>
      </c>
      <c r="N97" s="826">
        <v>5.5458999999999996</v>
      </c>
      <c r="O97" s="826">
        <v>5.9545000000000003</v>
      </c>
      <c r="P97" s="828">
        <v>0.40860000000000074</v>
      </c>
      <c r="Q97" s="825">
        <v>40086</v>
      </c>
      <c r="R97" s="826">
        <v>4.8426999999999998</v>
      </c>
      <c r="S97" s="826">
        <v>5.6292999999999997</v>
      </c>
      <c r="T97" s="828">
        <v>0.78659999999999997</v>
      </c>
      <c r="U97" s="834">
        <v>42277</v>
      </c>
      <c r="V97" s="835">
        <v>2.69</v>
      </c>
      <c r="W97" s="835">
        <v>3.29</v>
      </c>
      <c r="X97" s="690">
        <v>0.60000000000000009</v>
      </c>
      <c r="Y97" s="849">
        <v>44074</v>
      </c>
      <c r="Z97" s="846">
        <v>0.25</v>
      </c>
      <c r="AA97" s="846">
        <v>0.68</v>
      </c>
      <c r="AB97" s="690">
        <v>0.43000000000000005</v>
      </c>
    </row>
    <row r="98" spans="1:28" ht="12.75" hidden="1" customHeight="1">
      <c r="A98" s="34"/>
      <c r="B98" s="34"/>
      <c r="C98" s="34"/>
      <c r="D98" s="34"/>
      <c r="E98" s="34"/>
      <c r="F98" s="34"/>
      <c r="G98" s="34"/>
      <c r="H98" s="833">
        <v>35734</v>
      </c>
      <c r="I98" s="826">
        <v>6.73</v>
      </c>
      <c r="J98" s="826">
        <v>6.64</v>
      </c>
      <c r="K98" s="828">
        <v>-9.0000000000000746E-2</v>
      </c>
      <c r="L98" s="34"/>
      <c r="M98" s="833">
        <v>37925</v>
      </c>
      <c r="N98" s="826">
        <v>5.7858999999999998</v>
      </c>
      <c r="O98" s="826">
        <v>6.0176999999999996</v>
      </c>
      <c r="P98" s="828">
        <v>0.23179999999999978</v>
      </c>
      <c r="Q98" s="825">
        <v>40117</v>
      </c>
      <c r="R98" s="826">
        <v>5.0587999999999997</v>
      </c>
      <c r="S98" s="826">
        <v>5.6620999999999997</v>
      </c>
      <c r="T98" s="828">
        <v>0.60329999999999995</v>
      </c>
      <c r="U98" s="834">
        <v>42280</v>
      </c>
      <c r="V98" s="835">
        <v>2.73</v>
      </c>
      <c r="W98" s="835">
        <v>3.34</v>
      </c>
      <c r="X98" s="690">
        <v>0.60999999999999988</v>
      </c>
      <c r="Y98" s="849">
        <v>44104</v>
      </c>
      <c r="Z98" s="846">
        <v>0.02</v>
      </c>
      <c r="AA98" s="846">
        <v>0.56000000000000005</v>
      </c>
      <c r="AB98" s="690">
        <v>0.54</v>
      </c>
    </row>
    <row r="99" spans="1:28" ht="12.75" hidden="1" customHeight="1">
      <c r="A99" s="34"/>
      <c r="B99" s="34"/>
      <c r="C99" s="34"/>
      <c r="D99" s="34"/>
      <c r="E99" s="34"/>
      <c r="F99" s="34"/>
      <c r="G99" s="34"/>
      <c r="H99" s="833">
        <v>35764</v>
      </c>
      <c r="I99" s="826">
        <v>6.82</v>
      </c>
      <c r="J99" s="826">
        <v>6.65</v>
      </c>
      <c r="K99" s="828">
        <v>-0.16999999999999993</v>
      </c>
      <c r="L99" s="34"/>
      <c r="M99" s="833">
        <v>37955</v>
      </c>
      <c r="N99" s="826">
        <v>6.1074999999999999</v>
      </c>
      <c r="O99" s="826">
        <v>6.2054999999999998</v>
      </c>
      <c r="P99" s="828">
        <v>9.7999999999999865E-2</v>
      </c>
      <c r="Q99" s="825">
        <v>40147</v>
      </c>
      <c r="R99" s="826">
        <v>5.4276</v>
      </c>
      <c r="S99" s="826">
        <v>6.0118999999999998</v>
      </c>
      <c r="T99" s="828">
        <v>0.58429999999999982</v>
      </c>
      <c r="U99" s="834">
        <v>42312</v>
      </c>
      <c r="V99" s="835">
        <v>2.93</v>
      </c>
      <c r="W99" s="835">
        <v>3.49</v>
      </c>
      <c r="X99" s="690">
        <v>0.56000000000000005</v>
      </c>
      <c r="Y99" s="849">
        <v>44135</v>
      </c>
      <c r="Z99" s="846">
        <v>0.03</v>
      </c>
      <c r="AA99" s="846">
        <v>0.54</v>
      </c>
      <c r="AB99" s="690">
        <v>0.51</v>
      </c>
    </row>
    <row r="100" spans="1:28" ht="12.75" hidden="1" customHeight="1">
      <c r="A100" s="34"/>
      <c r="B100" s="34"/>
      <c r="C100" s="34"/>
      <c r="D100" s="34"/>
      <c r="E100" s="34"/>
      <c r="F100" s="34"/>
      <c r="G100" s="34"/>
      <c r="H100" s="833">
        <v>35795</v>
      </c>
      <c r="I100" s="826">
        <v>7.19</v>
      </c>
      <c r="J100" s="836">
        <v>6.96</v>
      </c>
      <c r="K100" s="828">
        <v>-0.23000000000000043</v>
      </c>
      <c r="L100" s="34"/>
      <c r="M100" s="833">
        <v>37986</v>
      </c>
      <c r="N100" s="826">
        <v>5.9295</v>
      </c>
      <c r="O100" s="836">
        <v>6.0488</v>
      </c>
      <c r="P100" s="828">
        <v>0.11929999999999996</v>
      </c>
      <c r="Q100" s="825">
        <v>40178</v>
      </c>
      <c r="R100" s="826">
        <v>5.4139999999999997</v>
      </c>
      <c r="S100" s="836">
        <v>6.0174000000000003</v>
      </c>
      <c r="T100" s="828">
        <v>0.6034000000000006</v>
      </c>
      <c r="U100" s="834">
        <v>42343</v>
      </c>
      <c r="V100" s="835">
        <v>2.96</v>
      </c>
      <c r="W100" s="837">
        <v>3.55</v>
      </c>
      <c r="X100" s="690">
        <v>0.58999999999999986</v>
      </c>
      <c r="Y100" s="849">
        <v>44165</v>
      </c>
      <c r="Z100" s="846">
        <v>0.21</v>
      </c>
      <c r="AA100" s="846">
        <v>0.75</v>
      </c>
      <c r="AB100" s="690">
        <v>0.54</v>
      </c>
    </row>
    <row r="101" spans="1:28" ht="12.75" hidden="1" customHeight="1">
      <c r="A101" s="714"/>
      <c r="B101" s="714"/>
      <c r="C101" s="34"/>
      <c r="D101" s="34"/>
      <c r="E101" s="34"/>
      <c r="F101" s="34"/>
      <c r="G101" s="34"/>
      <c r="H101" s="833">
        <v>35826</v>
      </c>
      <c r="I101" s="826">
        <v>7.05</v>
      </c>
      <c r="J101" s="838">
        <v>6.74</v>
      </c>
      <c r="K101" s="828">
        <v>-0.30999999999999961</v>
      </c>
      <c r="L101" s="34"/>
      <c r="M101" s="833">
        <v>38017</v>
      </c>
      <c r="N101" s="826">
        <v>5.7888000000000002</v>
      </c>
      <c r="O101" s="838">
        <v>5.9335000000000004</v>
      </c>
      <c r="P101" s="828">
        <v>0.14470000000000027</v>
      </c>
      <c r="Q101" s="825">
        <v>40209</v>
      </c>
      <c r="R101" s="826">
        <v>5.3446999999999996</v>
      </c>
      <c r="S101" s="838">
        <v>5.9954999999999998</v>
      </c>
      <c r="T101" s="828">
        <v>0.65080000000000027</v>
      </c>
      <c r="U101" s="834">
        <v>42375</v>
      </c>
      <c r="V101" s="835">
        <v>2.76</v>
      </c>
      <c r="W101" s="839">
        <v>3.31</v>
      </c>
      <c r="X101" s="690">
        <v>0.55000000000000027</v>
      </c>
      <c r="Y101" s="849">
        <v>44196</v>
      </c>
      <c r="Z101" s="846">
        <v>0.34</v>
      </c>
      <c r="AA101" s="846">
        <v>0.92</v>
      </c>
      <c r="AB101" s="690">
        <v>0.58000000000000007</v>
      </c>
    </row>
    <row r="102" spans="1:28" ht="12.75" hidden="1" customHeight="1">
      <c r="A102" s="34"/>
      <c r="B102" s="34"/>
      <c r="C102" s="34"/>
      <c r="D102" s="34"/>
      <c r="E102" s="34"/>
      <c r="F102" s="34"/>
      <c r="G102" s="34"/>
      <c r="H102" s="833">
        <v>35854</v>
      </c>
      <c r="I102" s="826">
        <v>7.16</v>
      </c>
      <c r="J102" s="826">
        <v>6.83</v>
      </c>
      <c r="K102" s="828">
        <v>-0.33000000000000007</v>
      </c>
      <c r="L102" s="34"/>
      <c r="M102" s="833">
        <v>38046</v>
      </c>
      <c r="N102" s="826">
        <v>5.7607999999999997</v>
      </c>
      <c r="O102" s="826">
        <v>5.9070999999999998</v>
      </c>
      <c r="P102" s="828">
        <v>0.1463000000000001</v>
      </c>
      <c r="Q102" s="825">
        <v>40237</v>
      </c>
      <c r="R102" s="826">
        <v>5.0942999999999996</v>
      </c>
      <c r="S102" s="826">
        <v>5.8564999999999996</v>
      </c>
      <c r="T102" s="828">
        <v>0.76219999999999999</v>
      </c>
      <c r="U102" s="834">
        <v>42428</v>
      </c>
      <c r="V102" s="835">
        <v>2.61</v>
      </c>
      <c r="W102" s="835">
        <v>3.06</v>
      </c>
      <c r="X102" s="690">
        <v>0.45000000000000018</v>
      </c>
      <c r="Y102" s="849">
        <v>44227</v>
      </c>
      <c r="Z102" s="846">
        <v>0.39</v>
      </c>
      <c r="AA102" s="1050">
        <v>1.04</v>
      </c>
      <c r="AB102" s="690">
        <v>0.65</v>
      </c>
    </row>
    <row r="103" spans="1:28" ht="12.75" hidden="1" customHeight="1">
      <c r="A103" s="34"/>
      <c r="B103" s="34"/>
      <c r="C103" s="34"/>
      <c r="D103" s="34"/>
      <c r="E103" s="34"/>
      <c r="F103" s="34"/>
      <c r="G103" s="34"/>
      <c r="H103" s="833">
        <v>35885</v>
      </c>
      <c r="I103" s="826">
        <v>7.34</v>
      </c>
      <c r="J103" s="840">
        <v>6.93</v>
      </c>
      <c r="K103" s="828">
        <v>-0.41000000000000014</v>
      </c>
      <c r="L103" s="34"/>
      <c r="M103" s="833">
        <v>38077</v>
      </c>
      <c r="N103" s="826">
        <v>5.5937000000000001</v>
      </c>
      <c r="O103" s="840">
        <v>5.7411000000000003</v>
      </c>
      <c r="P103" s="828">
        <v>0.1474000000000002</v>
      </c>
      <c r="Q103" s="825">
        <v>40268</v>
      </c>
      <c r="R103" s="826">
        <v>5.0888999999999998</v>
      </c>
      <c r="S103" s="840">
        <v>5.8582999999999998</v>
      </c>
      <c r="T103" s="828">
        <v>0.76940000000000008</v>
      </c>
      <c r="U103" s="834">
        <v>42460</v>
      </c>
      <c r="V103" s="835">
        <v>2.41</v>
      </c>
      <c r="W103" s="815">
        <v>3.02</v>
      </c>
      <c r="X103" s="690">
        <v>0.60999999999999988</v>
      </c>
      <c r="Y103" s="834">
        <v>44255</v>
      </c>
      <c r="Z103" s="846">
        <v>0.75</v>
      </c>
      <c r="AA103" s="846">
        <v>1.47</v>
      </c>
      <c r="AB103" s="690">
        <v>0.72</v>
      </c>
    </row>
    <row r="104" spans="1:28" ht="12.75" hidden="1" customHeight="1">
      <c r="A104" s="34"/>
      <c r="B104" s="34"/>
      <c r="C104" s="34"/>
      <c r="D104" s="34"/>
      <c r="E104" s="34"/>
      <c r="F104" s="34"/>
      <c r="G104" s="34"/>
      <c r="H104" s="833">
        <v>35915</v>
      </c>
      <c r="I104" s="826">
        <v>7.13</v>
      </c>
      <c r="J104" s="826">
        <v>6.82</v>
      </c>
      <c r="K104" s="828">
        <v>-0.30999999999999961</v>
      </c>
      <c r="L104" s="34"/>
      <c r="M104" s="833">
        <v>38107</v>
      </c>
      <c r="N104" s="826">
        <v>5.8578000000000001</v>
      </c>
      <c r="O104" s="826">
        <v>6.0423</v>
      </c>
      <c r="P104" s="828">
        <v>0.18449999999999989</v>
      </c>
      <c r="Q104" s="825">
        <v>40298</v>
      </c>
      <c r="R104" s="826">
        <v>5.1863000000000001</v>
      </c>
      <c r="S104" s="826">
        <v>5.9595000000000002</v>
      </c>
      <c r="T104" s="828">
        <v>0.77320000000000011</v>
      </c>
      <c r="U104" s="834">
        <v>42490</v>
      </c>
      <c r="V104" s="835">
        <v>2.2400000000000002</v>
      </c>
      <c r="W104" s="835">
        <v>2.86</v>
      </c>
      <c r="X104" s="690">
        <v>0.61999999999999966</v>
      </c>
      <c r="Y104" s="834">
        <v>44256</v>
      </c>
      <c r="Z104" s="846">
        <v>1.03</v>
      </c>
      <c r="AA104" s="847">
        <v>1.76</v>
      </c>
      <c r="AB104" s="690">
        <v>0.73</v>
      </c>
    </row>
    <row r="105" spans="1:28" ht="12.75" hidden="1" customHeight="1">
      <c r="A105" s="34"/>
      <c r="B105" s="34"/>
      <c r="C105" s="34"/>
      <c r="D105" s="34"/>
      <c r="E105" s="34"/>
      <c r="F105" s="34"/>
      <c r="G105" s="34"/>
      <c r="H105" s="833">
        <v>35946</v>
      </c>
      <c r="I105" s="826">
        <v>6.93</v>
      </c>
      <c r="J105" s="826">
        <v>6.66</v>
      </c>
      <c r="K105" s="828">
        <v>-0.26999999999999957</v>
      </c>
      <c r="L105" s="34"/>
      <c r="M105" s="833">
        <v>38138</v>
      </c>
      <c r="N105" s="826">
        <v>6.1013999999999999</v>
      </c>
      <c r="O105" s="826">
        <v>6.2560000000000002</v>
      </c>
      <c r="P105" s="828">
        <v>0.15460000000000029</v>
      </c>
      <c r="Q105" s="825">
        <v>40329</v>
      </c>
      <c r="R105" s="826">
        <v>5.0606999999999998</v>
      </c>
      <c r="S105" s="826">
        <v>5.7263999999999999</v>
      </c>
      <c r="T105" s="828">
        <v>0.66570000000000018</v>
      </c>
      <c r="U105" s="834">
        <v>42491</v>
      </c>
      <c r="V105" s="835">
        <v>2.1800000000000002</v>
      </c>
      <c r="W105" s="835">
        <v>2.67</v>
      </c>
      <c r="X105" s="690">
        <v>0.48999999999999977</v>
      </c>
      <c r="Y105" s="834">
        <v>44316</v>
      </c>
      <c r="Z105" s="846">
        <v>0.87</v>
      </c>
      <c r="AA105" s="846">
        <v>1.67</v>
      </c>
      <c r="AB105" s="690">
        <v>0.79999999999999993</v>
      </c>
    </row>
    <row r="106" spans="1:28" ht="12.75" hidden="1" customHeight="1">
      <c r="A106" s="34"/>
      <c r="B106" s="34"/>
      <c r="C106" s="34"/>
      <c r="D106" s="34"/>
      <c r="E106" s="34"/>
      <c r="F106" s="34"/>
      <c r="G106" s="34"/>
      <c r="H106" s="833">
        <v>35976</v>
      </c>
      <c r="I106" s="826">
        <v>6.94</v>
      </c>
      <c r="J106" s="827">
        <v>6.6</v>
      </c>
      <c r="K106" s="828">
        <v>-0.34000000000000075</v>
      </c>
      <c r="L106" s="34"/>
      <c r="M106" s="833">
        <v>38168</v>
      </c>
      <c r="N106" s="826">
        <v>6.1601999999999997</v>
      </c>
      <c r="O106" s="827">
        <v>6.2876000000000003</v>
      </c>
      <c r="P106" s="828">
        <v>0.12740000000000062</v>
      </c>
      <c r="Q106" s="825">
        <v>40359</v>
      </c>
      <c r="R106" s="826">
        <v>4.8479000000000001</v>
      </c>
      <c r="S106" s="827">
        <v>5.5140000000000002</v>
      </c>
      <c r="T106" s="828">
        <v>0.66610000000000014</v>
      </c>
      <c r="U106" s="841">
        <v>42551</v>
      </c>
      <c r="V106" s="842">
        <v>2.12</v>
      </c>
      <c r="W106" s="843">
        <v>2.5099999999999998</v>
      </c>
      <c r="X106" s="690">
        <v>0.38999999999999968</v>
      </c>
      <c r="Y106" s="834">
        <v>44317</v>
      </c>
      <c r="Z106" s="846">
        <v>1.04</v>
      </c>
      <c r="AA106" s="846">
        <v>1.81</v>
      </c>
      <c r="AB106" s="690">
        <v>0.77</v>
      </c>
    </row>
    <row r="107" spans="1:28" ht="12.75" hidden="1" customHeight="1">
      <c r="A107" s="34"/>
      <c r="B107" s="714"/>
      <c r="C107" s="34"/>
      <c r="D107" s="34"/>
      <c r="E107" s="34"/>
      <c r="F107" s="34"/>
      <c r="G107" s="34"/>
      <c r="H107" s="833">
        <v>36007</v>
      </c>
      <c r="I107" s="826">
        <v>6.57</v>
      </c>
      <c r="J107" s="826">
        <v>6.25</v>
      </c>
      <c r="K107" s="828">
        <v>-0.32000000000000028</v>
      </c>
      <c r="L107" s="34"/>
      <c r="M107" s="833">
        <v>38199</v>
      </c>
      <c r="N107" s="826">
        <v>6.0754999999999999</v>
      </c>
      <c r="O107" s="826">
        <v>6.1768000000000001</v>
      </c>
      <c r="P107" s="828">
        <v>0.10130000000000017</v>
      </c>
      <c r="Q107" s="825">
        <v>40390</v>
      </c>
      <c r="R107" s="826">
        <v>4.7047999999999996</v>
      </c>
      <c r="S107" s="826">
        <v>5.3979999999999997</v>
      </c>
      <c r="T107" s="828">
        <v>0.69320000000000004</v>
      </c>
      <c r="U107" s="841">
        <v>42582</v>
      </c>
      <c r="V107" s="842">
        <v>1.97</v>
      </c>
      <c r="W107" s="842">
        <v>2.27</v>
      </c>
      <c r="X107" s="690">
        <v>0.30000000000000004</v>
      </c>
      <c r="Y107" s="841">
        <v>44377</v>
      </c>
      <c r="Z107" s="855">
        <v>1.03</v>
      </c>
      <c r="AA107" s="1051">
        <v>1.76</v>
      </c>
      <c r="AB107" s="690">
        <v>0.73</v>
      </c>
    </row>
    <row r="108" spans="1:28" ht="12.75" hidden="1" customHeight="1">
      <c r="A108" s="34"/>
      <c r="B108" s="186"/>
      <c r="C108" s="34"/>
      <c r="D108" s="34"/>
      <c r="E108" s="34"/>
      <c r="F108" s="34"/>
      <c r="G108" s="34"/>
      <c r="H108" s="833">
        <v>36038</v>
      </c>
      <c r="I108" s="826">
        <v>6.34</v>
      </c>
      <c r="J108" s="826">
        <v>6.17</v>
      </c>
      <c r="K108" s="828">
        <v>-0.16999999999999993</v>
      </c>
      <c r="L108" s="34"/>
      <c r="M108" s="833">
        <v>38230</v>
      </c>
      <c r="N108" s="826">
        <v>6.1647999999999996</v>
      </c>
      <c r="O108" s="826">
        <v>6.2004999999999999</v>
      </c>
      <c r="P108" s="828">
        <v>3.5700000000000287E-2</v>
      </c>
      <c r="Q108" s="825">
        <v>40421</v>
      </c>
      <c r="R108" s="826">
        <v>4.5069999999999997</v>
      </c>
      <c r="S108" s="826">
        <v>5.2417999999999996</v>
      </c>
      <c r="T108" s="828">
        <v>0.7347999999999999</v>
      </c>
      <c r="U108" s="841">
        <v>42613</v>
      </c>
      <c r="V108" s="842">
        <v>1.8</v>
      </c>
      <c r="W108" s="842">
        <v>2.19</v>
      </c>
      <c r="X108" s="690">
        <v>0.3899999999999999</v>
      </c>
      <c r="Y108" s="849">
        <v>44408</v>
      </c>
      <c r="Z108" s="846">
        <v>1.1299999999999999</v>
      </c>
      <c r="AA108" s="846">
        <v>1.58</v>
      </c>
      <c r="AB108" s="690">
        <v>0.45000000000000018</v>
      </c>
    </row>
    <row r="109" spans="1:28" ht="12.75" hidden="1" customHeight="1">
      <c r="A109" s="34"/>
      <c r="B109" s="34"/>
      <c r="C109" s="34"/>
      <c r="D109" s="34"/>
      <c r="E109" s="34"/>
      <c r="F109" s="34"/>
      <c r="G109" s="34"/>
      <c r="H109" s="833">
        <v>36068</v>
      </c>
      <c r="I109" s="826">
        <v>6.05</v>
      </c>
      <c r="J109" s="826">
        <v>6.02</v>
      </c>
      <c r="K109" s="828">
        <v>-3.0000000000000249E-2</v>
      </c>
      <c r="L109" s="34"/>
      <c r="M109" s="833">
        <v>38260</v>
      </c>
      <c r="N109" s="826">
        <v>6.1809000000000003</v>
      </c>
      <c r="O109" s="826">
        <v>6.1630000000000003</v>
      </c>
      <c r="P109" s="828">
        <v>-1.7900000000000027E-2</v>
      </c>
      <c r="Q109" s="834">
        <v>40451</v>
      </c>
      <c r="R109" s="835">
        <v>4.55</v>
      </c>
      <c r="S109" s="835">
        <v>5.28</v>
      </c>
      <c r="T109" s="828">
        <v>0.73000000000000043</v>
      </c>
      <c r="U109" s="841">
        <v>42643</v>
      </c>
      <c r="V109" s="842">
        <v>1.97</v>
      </c>
      <c r="W109" s="842">
        <v>2.4</v>
      </c>
      <c r="X109" s="690">
        <v>0.42999999999999994</v>
      </c>
      <c r="Y109" s="849">
        <v>44409</v>
      </c>
      <c r="Z109" s="846">
        <v>1.3</v>
      </c>
      <c r="AA109" s="846">
        <v>1.65</v>
      </c>
      <c r="AB109" s="690">
        <v>0.34999999999999987</v>
      </c>
    </row>
    <row r="110" spans="1:28" ht="12.75" hidden="1" customHeight="1">
      <c r="A110" s="34"/>
      <c r="B110" s="34"/>
      <c r="C110" s="34"/>
      <c r="D110" s="34"/>
      <c r="E110" s="34"/>
      <c r="F110" s="34"/>
      <c r="G110" s="34"/>
      <c r="H110" s="833">
        <v>36099</v>
      </c>
      <c r="I110" s="826">
        <v>5.4</v>
      </c>
      <c r="J110" s="826">
        <v>5.46</v>
      </c>
      <c r="K110" s="828">
        <v>5.9999999999999609E-2</v>
      </c>
      <c r="L110" s="34"/>
      <c r="M110" s="833">
        <v>38291</v>
      </c>
      <c r="N110" s="826">
        <v>6.0708000000000002</v>
      </c>
      <c r="O110" s="826">
        <v>6.0833000000000004</v>
      </c>
      <c r="P110" s="828">
        <v>1.2500000000000178E-2</v>
      </c>
      <c r="Q110" s="834">
        <v>40482</v>
      </c>
      <c r="R110" s="835">
        <v>4.37</v>
      </c>
      <c r="S110" s="835">
        <v>5.09</v>
      </c>
      <c r="T110" s="828">
        <v>0.71999999999999975</v>
      </c>
      <c r="U110" s="841">
        <v>42674</v>
      </c>
      <c r="V110" s="842">
        <v>2.0699999999999998</v>
      </c>
      <c r="W110" s="842">
        <v>2.5299999999999998</v>
      </c>
      <c r="X110" s="690">
        <v>0.45999999999999996</v>
      </c>
      <c r="Y110" s="849">
        <v>44469</v>
      </c>
      <c r="Z110" s="846">
        <v>1.52</v>
      </c>
      <c r="AA110" s="846">
        <v>1.88</v>
      </c>
      <c r="AB110" s="690">
        <v>0.35999999999999988</v>
      </c>
    </row>
    <row r="111" spans="1:28" ht="12.75" hidden="1" customHeight="1">
      <c r="A111" s="34"/>
      <c r="B111" s="34"/>
      <c r="C111" s="34"/>
      <c r="D111" s="34"/>
      <c r="E111" s="34"/>
      <c r="F111" s="34"/>
      <c r="G111" s="34"/>
      <c r="H111" s="833">
        <v>36129</v>
      </c>
      <c r="I111" s="826">
        <v>5.46</v>
      </c>
      <c r="J111" s="826">
        <v>5.59</v>
      </c>
      <c r="K111" s="828">
        <v>0.12999999999999989</v>
      </c>
      <c r="L111" s="34"/>
      <c r="M111" s="833">
        <v>38321</v>
      </c>
      <c r="N111" s="826">
        <v>6.0069999999999997</v>
      </c>
      <c r="O111" s="826">
        <v>6.0475000000000003</v>
      </c>
      <c r="P111" s="828">
        <v>4.0500000000000647E-2</v>
      </c>
      <c r="Q111" s="834">
        <v>40512</v>
      </c>
      <c r="R111" s="835">
        <v>4.72</v>
      </c>
      <c r="S111" s="835">
        <v>5.49</v>
      </c>
      <c r="T111" s="828">
        <v>0.77000000000000046</v>
      </c>
      <c r="U111" s="841">
        <v>42704</v>
      </c>
      <c r="V111" s="842">
        <v>2.4</v>
      </c>
      <c r="W111" s="842">
        <v>2.99</v>
      </c>
      <c r="X111" s="690">
        <v>0.5900000000000003</v>
      </c>
      <c r="Y111" s="849">
        <v>44500</v>
      </c>
      <c r="Z111" s="846">
        <v>1.81</v>
      </c>
      <c r="AA111" s="846">
        <v>2.23</v>
      </c>
      <c r="AB111" s="690">
        <v>0.41999999999999993</v>
      </c>
    </row>
    <row r="112" spans="1:28" ht="12.75" hidden="1" customHeight="1">
      <c r="A112" s="34"/>
      <c r="B112" s="34"/>
      <c r="C112" s="34"/>
      <c r="D112" s="34"/>
      <c r="E112" s="34"/>
      <c r="F112" s="34"/>
      <c r="G112" s="34"/>
      <c r="H112" s="833">
        <v>36160</v>
      </c>
      <c r="I112" s="826">
        <v>5.27</v>
      </c>
      <c r="J112" s="836">
        <v>5.38</v>
      </c>
      <c r="K112" s="828">
        <v>0.11000000000000032</v>
      </c>
      <c r="L112" s="34"/>
      <c r="M112" s="833">
        <v>38352</v>
      </c>
      <c r="N112" s="826">
        <v>5.9779</v>
      </c>
      <c r="O112" s="836">
        <v>5.9526000000000003</v>
      </c>
      <c r="P112" s="828">
        <v>-2.5299999999999656E-2</v>
      </c>
      <c r="Q112" s="834">
        <v>40543</v>
      </c>
      <c r="R112" s="835">
        <v>4.79</v>
      </c>
      <c r="S112" s="837">
        <v>5.82</v>
      </c>
      <c r="T112" s="828">
        <v>1.0300000000000002</v>
      </c>
      <c r="U112" s="841">
        <v>42735</v>
      </c>
      <c r="V112" s="842">
        <v>2.62</v>
      </c>
      <c r="W112" s="844">
        <v>3.33</v>
      </c>
      <c r="X112" s="690">
        <v>0.71</v>
      </c>
      <c r="Y112" s="849">
        <v>44530</v>
      </c>
      <c r="Z112" s="846">
        <v>2.33</v>
      </c>
      <c r="AA112" s="846">
        <v>2.57</v>
      </c>
      <c r="AB112" s="690">
        <v>0.23999999999999977</v>
      </c>
    </row>
    <row r="113" spans="1:31" ht="12.75" hidden="1" customHeight="1">
      <c r="A113" s="34"/>
      <c r="B113" s="34"/>
      <c r="C113" s="34"/>
      <c r="D113" s="34"/>
      <c r="E113" s="34"/>
      <c r="F113" s="34"/>
      <c r="G113" s="34"/>
      <c r="H113" s="833">
        <v>36191</v>
      </c>
      <c r="I113" s="826">
        <v>5.41</v>
      </c>
      <c r="J113" s="838">
        <v>5.5327999999999999</v>
      </c>
      <c r="K113" s="828">
        <v>0.1227999999999998</v>
      </c>
      <c r="L113" s="34"/>
      <c r="M113" s="833">
        <v>38383</v>
      </c>
      <c r="N113" s="826">
        <v>6.0381999999999998</v>
      </c>
      <c r="O113" s="838">
        <v>5.9904999999999999</v>
      </c>
      <c r="P113" s="828">
        <v>-4.7699999999999854E-2</v>
      </c>
      <c r="Q113" s="834">
        <v>40574</v>
      </c>
      <c r="R113" s="835">
        <v>4.6100000000000003</v>
      </c>
      <c r="S113" s="839">
        <v>5.61</v>
      </c>
      <c r="T113" s="828">
        <v>1</v>
      </c>
      <c r="U113" s="841">
        <v>42766</v>
      </c>
      <c r="V113" s="842">
        <v>2.61</v>
      </c>
      <c r="W113" s="845">
        <v>3.23</v>
      </c>
      <c r="X113" s="690">
        <v>0.62000000000000011</v>
      </c>
      <c r="Y113" s="849">
        <v>44561</v>
      </c>
      <c r="Z113" s="846">
        <v>2.21</v>
      </c>
      <c r="AA113" s="850">
        <v>2.37</v>
      </c>
      <c r="AB113" s="690">
        <v>0.16000000000000014</v>
      </c>
    </row>
    <row r="114" spans="1:31" ht="12.75" hidden="1" customHeight="1">
      <c r="A114" s="34"/>
      <c r="B114" s="34"/>
      <c r="C114" s="34"/>
      <c r="D114" s="34"/>
      <c r="E114" s="34"/>
      <c r="F114" s="34"/>
      <c r="G114" s="34"/>
      <c r="H114" s="833">
        <v>36219</v>
      </c>
      <c r="I114" s="826">
        <v>5.4255000000000004</v>
      </c>
      <c r="J114" s="826">
        <v>5.617</v>
      </c>
      <c r="K114" s="828">
        <v>0.19149999999999956</v>
      </c>
      <c r="L114" s="34"/>
      <c r="M114" s="833">
        <v>38411</v>
      </c>
      <c r="N114" s="826">
        <v>6.0914999999999999</v>
      </c>
      <c r="O114" s="826">
        <v>5.9539999999999997</v>
      </c>
      <c r="P114" s="828">
        <v>-0.13750000000000018</v>
      </c>
      <c r="Q114" s="834">
        <v>40602</v>
      </c>
      <c r="R114" s="835">
        <v>4.49</v>
      </c>
      <c r="S114" s="835">
        <v>5.56</v>
      </c>
      <c r="T114" s="828">
        <v>1.0699999999999994</v>
      </c>
      <c r="U114" s="841">
        <v>42794</v>
      </c>
      <c r="V114" s="842">
        <v>2.61</v>
      </c>
      <c r="W114" s="842">
        <v>3.29</v>
      </c>
      <c r="X114" s="690">
        <v>0.68000000000000016</v>
      </c>
      <c r="Y114" s="849">
        <v>44592</v>
      </c>
      <c r="Z114" s="34"/>
      <c r="AA114" s="34"/>
      <c r="AB114" s="690">
        <v>0</v>
      </c>
    </row>
    <row r="115" spans="1:31" ht="12.75" hidden="1" customHeight="1">
      <c r="A115" s="34"/>
      <c r="B115" s="34"/>
      <c r="C115" s="34"/>
      <c r="D115" s="34"/>
      <c r="E115" s="34"/>
      <c r="F115" s="34"/>
      <c r="G115" s="34"/>
      <c r="H115" s="833">
        <v>36250</v>
      </c>
      <c r="I115" s="826">
        <v>5.5526</v>
      </c>
      <c r="J115" s="840">
        <v>5.8377999999999997</v>
      </c>
      <c r="K115" s="828">
        <v>0.28519999999999968</v>
      </c>
      <c r="L115" s="34"/>
      <c r="M115" s="833">
        <v>38442</v>
      </c>
      <c r="N115" s="826">
        <v>6.2901999999999996</v>
      </c>
      <c r="O115" s="840">
        <v>6.1614000000000004</v>
      </c>
      <c r="P115" s="828">
        <v>-0.12879999999999914</v>
      </c>
      <c r="Q115" s="834">
        <v>40633</v>
      </c>
      <c r="R115" s="835">
        <v>4.32</v>
      </c>
      <c r="S115" s="815">
        <v>5.58</v>
      </c>
      <c r="T115" s="828">
        <v>1.2599999999999998</v>
      </c>
      <c r="U115" s="841">
        <v>42795</v>
      </c>
      <c r="V115" s="846">
        <v>2.56</v>
      </c>
      <c r="W115" s="847">
        <v>3.28</v>
      </c>
      <c r="X115" s="690">
        <v>0.71999999999999975</v>
      </c>
      <c r="Y115" s="834">
        <v>44620</v>
      </c>
      <c r="Z115" s="34"/>
      <c r="AA115" s="34"/>
      <c r="AB115" s="690">
        <v>0</v>
      </c>
    </row>
    <row r="116" spans="1:31" ht="12.75" hidden="1" customHeight="1">
      <c r="A116" s="34"/>
      <c r="B116" s="34"/>
      <c r="C116" s="34"/>
      <c r="D116" s="34"/>
      <c r="E116" s="34"/>
      <c r="F116" s="34"/>
      <c r="G116" s="34"/>
      <c r="H116" s="833">
        <v>36280</v>
      </c>
      <c r="I116" s="826">
        <v>5.3661000000000003</v>
      </c>
      <c r="J116" s="826">
        <v>5.7005999999999997</v>
      </c>
      <c r="K116" s="828">
        <v>0.33449999999999935</v>
      </c>
      <c r="L116" s="34"/>
      <c r="M116" s="833">
        <v>38472</v>
      </c>
      <c r="N116" s="826">
        <v>6.0910000000000002</v>
      </c>
      <c r="O116" s="826">
        <v>5.9889999999999999</v>
      </c>
      <c r="P116" s="828">
        <v>-0.10200000000000031</v>
      </c>
      <c r="Q116" s="834">
        <v>40663</v>
      </c>
      <c r="R116" s="835">
        <v>4.47</v>
      </c>
      <c r="S116" s="835">
        <v>5.7</v>
      </c>
      <c r="T116" s="828">
        <v>1.2300000000000004</v>
      </c>
      <c r="U116" s="841">
        <v>42827</v>
      </c>
      <c r="V116" s="846">
        <v>2.41</v>
      </c>
      <c r="W116" s="846">
        <v>3.05</v>
      </c>
      <c r="X116" s="690">
        <v>0.63999999999999968</v>
      </c>
      <c r="Y116" s="834">
        <v>44621</v>
      </c>
      <c r="Z116" s="34"/>
      <c r="AA116" s="34"/>
      <c r="AB116" s="690">
        <v>0</v>
      </c>
    </row>
    <row r="117" spans="1:31" ht="12.75" hidden="1" customHeight="1">
      <c r="A117" s="34"/>
      <c r="B117" s="34"/>
      <c r="C117" s="34"/>
      <c r="D117" s="34"/>
      <c r="E117" s="34"/>
      <c r="F117" s="34"/>
      <c r="G117" s="34"/>
      <c r="H117" s="833">
        <v>36311</v>
      </c>
      <c r="I117" s="826">
        <v>5.7271000000000001</v>
      </c>
      <c r="J117" s="826">
        <v>6.1166999999999998</v>
      </c>
      <c r="K117" s="828">
        <v>0.38959999999999972</v>
      </c>
      <c r="L117" s="34"/>
      <c r="M117" s="833">
        <v>38503</v>
      </c>
      <c r="N117" s="826">
        <v>5.9141000000000004</v>
      </c>
      <c r="O117" s="826">
        <v>5.8070000000000004</v>
      </c>
      <c r="P117" s="828">
        <v>-0.10709999999999997</v>
      </c>
      <c r="Q117" s="834">
        <v>40694</v>
      </c>
      <c r="R117" s="835">
        <v>4.1500000000000004</v>
      </c>
      <c r="S117" s="835">
        <v>5.23</v>
      </c>
      <c r="T117" s="828">
        <v>1.08</v>
      </c>
      <c r="U117" s="841">
        <v>42858</v>
      </c>
      <c r="V117" s="846">
        <v>2.39</v>
      </c>
      <c r="W117" s="846">
        <v>2.93</v>
      </c>
      <c r="X117" s="690">
        <v>0.54</v>
      </c>
      <c r="Y117" s="834">
        <v>44681</v>
      </c>
      <c r="Z117" s="34"/>
      <c r="AA117" s="34"/>
      <c r="AB117" s="690">
        <v>0</v>
      </c>
    </row>
    <row r="118" spans="1:31" ht="12.75" hidden="1" customHeight="1">
      <c r="A118" s="34"/>
      <c r="B118" s="34"/>
      <c r="C118" s="34"/>
      <c r="D118" s="34"/>
      <c r="E118" s="34"/>
      <c r="F118" s="34"/>
      <c r="G118" s="34"/>
      <c r="H118" s="833">
        <v>36341</v>
      </c>
      <c r="I118" s="826">
        <v>6.1467000000000001</v>
      </c>
      <c r="J118" s="827">
        <v>6.5148000000000001</v>
      </c>
      <c r="K118" s="828">
        <v>0.36810000000000009</v>
      </c>
      <c r="L118" s="34"/>
      <c r="M118" s="833">
        <v>38533</v>
      </c>
      <c r="N118" s="826">
        <v>5.8380999999999998</v>
      </c>
      <c r="O118" s="827">
        <v>5.7110000000000003</v>
      </c>
      <c r="P118" s="828">
        <v>-0.12709999999999955</v>
      </c>
      <c r="Q118" s="834">
        <v>40724</v>
      </c>
      <c r="R118" s="835">
        <v>3.99</v>
      </c>
      <c r="S118" s="817">
        <v>5.04</v>
      </c>
      <c r="T118" s="828">
        <v>1.0499999999999998</v>
      </c>
      <c r="U118" s="841">
        <v>42890</v>
      </c>
      <c r="V118" s="846">
        <v>2.46</v>
      </c>
      <c r="W118" s="848">
        <v>2.77</v>
      </c>
      <c r="X118" s="690">
        <v>0.31000000000000005</v>
      </c>
      <c r="Y118" s="834">
        <v>44682</v>
      </c>
      <c r="Z118" s="34"/>
      <c r="AA118" s="34"/>
      <c r="AB118" s="690">
        <v>0</v>
      </c>
    </row>
    <row r="119" spans="1:31" ht="12.75" hidden="1" customHeight="1">
      <c r="A119" s="34"/>
      <c r="B119" s="34"/>
      <c r="C119" s="34"/>
      <c r="D119" s="34"/>
      <c r="E119" s="34"/>
      <c r="F119" s="34"/>
      <c r="G119" s="34"/>
      <c r="H119" s="833">
        <v>36372</v>
      </c>
      <c r="I119" s="826">
        <v>6.1318000000000001</v>
      </c>
      <c r="J119" s="826">
        <v>6.5395000000000003</v>
      </c>
      <c r="K119" s="828">
        <v>0.40770000000000017</v>
      </c>
      <c r="L119" s="34"/>
      <c r="M119" s="833">
        <v>38564</v>
      </c>
      <c r="N119" s="826">
        <v>5.8338000000000001</v>
      </c>
      <c r="O119" s="826">
        <v>5.7529000000000003</v>
      </c>
      <c r="P119" s="828">
        <v>-8.089999999999975E-2</v>
      </c>
      <c r="Q119" s="834">
        <v>40755</v>
      </c>
      <c r="R119" s="835">
        <v>4.03</v>
      </c>
      <c r="S119" s="835">
        <v>5.07</v>
      </c>
      <c r="T119" s="828">
        <v>1.04</v>
      </c>
      <c r="U119" s="849">
        <v>42947</v>
      </c>
      <c r="V119" s="846">
        <v>2.63</v>
      </c>
      <c r="W119" s="846">
        <v>2.97</v>
      </c>
      <c r="X119" s="690">
        <v>0.3400000000000003</v>
      </c>
      <c r="Y119" s="841">
        <v>44742</v>
      </c>
      <c r="Z119" s="43"/>
      <c r="AA119" s="43"/>
      <c r="AB119" s="690">
        <v>0</v>
      </c>
    </row>
    <row r="120" spans="1:31" ht="12.75" hidden="1" customHeight="1">
      <c r="A120" s="34"/>
      <c r="B120" s="34"/>
      <c r="C120" s="34"/>
      <c r="D120" s="34"/>
      <c r="E120" s="34"/>
      <c r="F120" s="34"/>
      <c r="G120" s="34"/>
      <c r="H120" s="833">
        <v>36403</v>
      </c>
      <c r="I120" s="826">
        <v>6.4927000000000001</v>
      </c>
      <c r="J120" s="826">
        <v>6.8768000000000002</v>
      </c>
      <c r="K120" s="828">
        <v>0.38410000000000011</v>
      </c>
      <c r="L120" s="34"/>
      <c r="M120" s="833">
        <v>38595</v>
      </c>
      <c r="N120" s="826">
        <v>5.7765000000000004</v>
      </c>
      <c r="O120" s="826">
        <v>5.7706999999999997</v>
      </c>
      <c r="P120" s="828">
        <v>-5.8000000000006935E-3</v>
      </c>
      <c r="Q120" s="834">
        <v>40786</v>
      </c>
      <c r="R120" s="835">
        <v>3.63</v>
      </c>
      <c r="S120" s="835">
        <v>4.55</v>
      </c>
      <c r="T120" s="828">
        <v>0.91999999999999993</v>
      </c>
      <c r="U120" s="849">
        <v>42978</v>
      </c>
      <c r="V120" s="846">
        <v>2.4700000000000002</v>
      </c>
      <c r="W120" s="846">
        <v>2.88</v>
      </c>
      <c r="X120" s="690">
        <v>0.4099999999999997</v>
      </c>
      <c r="Y120" s="34"/>
      <c r="Z120" s="34"/>
    </row>
    <row r="121" spans="1:31" ht="12.75" hidden="1" customHeight="1">
      <c r="A121" s="34"/>
      <c r="B121" s="34"/>
      <c r="C121" s="34"/>
      <c r="D121" s="34"/>
      <c r="E121" s="34"/>
      <c r="F121" s="34"/>
      <c r="G121" s="34"/>
      <c r="H121" s="833">
        <v>36433</v>
      </c>
      <c r="I121" s="826">
        <v>6.67</v>
      </c>
      <c r="J121" s="826">
        <v>6.9114000000000004</v>
      </c>
      <c r="K121" s="828">
        <v>0.2414000000000005</v>
      </c>
      <c r="L121" s="34"/>
      <c r="M121" s="833">
        <v>38625</v>
      </c>
      <c r="N121" s="826">
        <v>5.7427000000000001</v>
      </c>
      <c r="O121" s="826">
        <v>5.7051999999999996</v>
      </c>
      <c r="P121" s="828">
        <v>-3.7500000000000533E-2</v>
      </c>
      <c r="Q121" s="834">
        <v>40816</v>
      </c>
      <c r="R121" s="835">
        <v>3.45</v>
      </c>
      <c r="S121" s="835">
        <v>4.41</v>
      </c>
      <c r="T121" s="828">
        <v>0.96</v>
      </c>
      <c r="U121" s="849">
        <v>43008</v>
      </c>
      <c r="V121" s="846">
        <v>2.5</v>
      </c>
      <c r="W121" s="846">
        <v>2.91</v>
      </c>
      <c r="X121" s="690">
        <v>0.41000000000000014</v>
      </c>
      <c r="Y121" s="846"/>
      <c r="Z121" s="846"/>
      <c r="AA121" s="1276"/>
      <c r="AB121" s="1276"/>
      <c r="AE121" s="1276"/>
    </row>
    <row r="122" spans="1:31" ht="12.75" hidden="1" customHeight="1">
      <c r="A122" s="34"/>
      <c r="B122" s="34"/>
      <c r="C122" s="34"/>
      <c r="D122" s="34"/>
      <c r="E122" s="34"/>
      <c r="F122" s="34"/>
      <c r="G122" s="34"/>
      <c r="H122" s="833">
        <v>36464</v>
      </c>
      <c r="I122" s="826">
        <v>6.8295000000000003</v>
      </c>
      <c r="J122" s="826">
        <v>7.1055000000000001</v>
      </c>
      <c r="K122" s="828">
        <v>0.2759999999999998</v>
      </c>
      <c r="L122" s="34"/>
      <c r="M122" s="833">
        <v>38656</v>
      </c>
      <c r="N122" s="826">
        <v>5.9863</v>
      </c>
      <c r="O122" s="826">
        <v>5.8837999999999999</v>
      </c>
      <c r="P122" s="828">
        <v>-0.10250000000000004</v>
      </c>
      <c r="Q122" s="834">
        <v>40847</v>
      </c>
      <c r="R122" s="835">
        <v>4.05</v>
      </c>
      <c r="S122" s="835">
        <v>4.54</v>
      </c>
      <c r="T122" s="828">
        <v>0.49000000000000021</v>
      </c>
      <c r="U122" s="849">
        <v>43039</v>
      </c>
      <c r="V122" s="846">
        <v>2.52</v>
      </c>
      <c r="W122" s="846">
        <v>2.97</v>
      </c>
      <c r="X122" s="690">
        <v>0.45000000000000018</v>
      </c>
      <c r="Z122" s="34"/>
      <c r="AA122" s="1445"/>
      <c r="AB122" s="34"/>
      <c r="AC122" s="846"/>
    </row>
    <row r="123" spans="1:31" ht="12.75" hidden="1" customHeight="1">
      <c r="A123" s="34"/>
      <c r="B123" s="34"/>
      <c r="C123" s="34"/>
      <c r="D123" s="34"/>
      <c r="E123" s="34"/>
      <c r="F123" s="34"/>
      <c r="G123" s="34"/>
      <c r="H123" s="833">
        <v>36494</v>
      </c>
      <c r="I123" s="826">
        <v>6.7995000000000001</v>
      </c>
      <c r="J123" s="826">
        <v>7.0227000000000004</v>
      </c>
      <c r="K123" s="828">
        <v>0.22320000000000029</v>
      </c>
      <c r="L123" s="34"/>
      <c r="M123" s="833">
        <v>38686</v>
      </c>
      <c r="N123" s="826">
        <v>6.1634000000000002</v>
      </c>
      <c r="O123" s="826">
        <v>5.9470000000000001</v>
      </c>
      <c r="P123" s="828">
        <v>-0.21640000000000015</v>
      </c>
      <c r="Q123" s="834">
        <v>40877</v>
      </c>
      <c r="R123" s="835">
        <v>3.66</v>
      </c>
      <c r="S123" s="835">
        <v>4.1399999999999997</v>
      </c>
      <c r="T123" s="828">
        <v>0.47999999999999954</v>
      </c>
      <c r="U123" s="849">
        <v>43069</v>
      </c>
      <c r="V123" s="846">
        <v>2.42</v>
      </c>
      <c r="W123" s="846">
        <v>2.85</v>
      </c>
      <c r="X123" s="690">
        <v>0.43000000000000016</v>
      </c>
      <c r="Z123" s="34"/>
      <c r="AA123" s="1445"/>
      <c r="AB123" s="34"/>
      <c r="AC123" s="846"/>
    </row>
    <row r="124" spans="1:31" ht="12.75" hidden="1" customHeight="1">
      <c r="A124" s="34"/>
      <c r="B124" s="34"/>
      <c r="C124" s="34"/>
      <c r="D124" s="34"/>
      <c r="E124" s="34"/>
      <c r="F124" s="34"/>
      <c r="G124" s="34"/>
      <c r="H124" s="833">
        <v>36525</v>
      </c>
      <c r="I124" s="826">
        <v>6.9881000000000002</v>
      </c>
      <c r="J124" s="836">
        <v>7.1714000000000002</v>
      </c>
      <c r="K124" s="828">
        <v>0.18330000000000002</v>
      </c>
      <c r="L124" s="34"/>
      <c r="M124" s="833">
        <v>38717</v>
      </c>
      <c r="N124" s="826">
        <v>5.9459999999999997</v>
      </c>
      <c r="O124" s="836">
        <v>5.8304999999999998</v>
      </c>
      <c r="P124" s="828">
        <v>-0.11549999999999994</v>
      </c>
      <c r="Q124" s="834">
        <v>40908</v>
      </c>
      <c r="R124" s="835">
        <v>3.39</v>
      </c>
      <c r="S124" s="837">
        <v>3.91</v>
      </c>
      <c r="T124" s="828">
        <v>0.52</v>
      </c>
      <c r="U124" s="849">
        <v>43100</v>
      </c>
      <c r="V124" s="846">
        <v>2.33</v>
      </c>
      <c r="W124" s="850">
        <v>2.76</v>
      </c>
      <c r="X124" s="690">
        <v>0.42999999999999972</v>
      </c>
      <c r="Z124" s="34"/>
      <c r="AA124" s="1445"/>
      <c r="AB124" s="34"/>
      <c r="AC124" s="846"/>
    </row>
    <row r="125" spans="1:31" ht="12.75" hidden="1" customHeight="1">
      <c r="A125" s="34"/>
      <c r="B125" s="34"/>
      <c r="C125" s="34"/>
      <c r="D125" s="34"/>
      <c r="E125" s="34"/>
      <c r="F125" s="34"/>
      <c r="G125" s="34"/>
      <c r="H125" s="833">
        <v>36556</v>
      </c>
      <c r="I125" s="826">
        <v>7.2836999999999996</v>
      </c>
      <c r="J125" s="838">
        <v>7.4763000000000002</v>
      </c>
      <c r="K125" s="828">
        <v>0.19260000000000055</v>
      </c>
      <c r="L125" s="34"/>
      <c r="M125" s="833">
        <v>38748</v>
      </c>
      <c r="N125" s="826">
        <v>5.7714999999999996</v>
      </c>
      <c r="O125" s="838">
        <v>5.7240000000000002</v>
      </c>
      <c r="P125" s="828">
        <v>-4.7499999999999432E-2</v>
      </c>
      <c r="Q125" s="834">
        <v>40939</v>
      </c>
      <c r="R125" s="835">
        <v>3.36</v>
      </c>
      <c r="S125" s="839">
        <v>3.86</v>
      </c>
      <c r="T125" s="828">
        <v>0.5</v>
      </c>
      <c r="U125" s="849">
        <v>43131</v>
      </c>
      <c r="V125" s="846">
        <v>2.42</v>
      </c>
      <c r="W125" s="851">
        <v>2.88</v>
      </c>
      <c r="X125" s="690">
        <v>0.45999999999999996</v>
      </c>
      <c r="Z125" s="34"/>
      <c r="AA125" s="1445"/>
      <c r="AB125" s="34"/>
      <c r="AC125" s="846"/>
    </row>
    <row r="126" spans="1:31" ht="12.75" hidden="1" customHeight="1">
      <c r="A126" s="34"/>
      <c r="B126" s="34"/>
      <c r="C126" s="34"/>
      <c r="D126" s="34"/>
      <c r="E126" s="34"/>
      <c r="F126" s="34"/>
      <c r="G126" s="34"/>
      <c r="H126" s="833">
        <v>36585</v>
      </c>
      <c r="I126" s="826">
        <v>7.2538</v>
      </c>
      <c r="J126" s="826">
        <v>7.3137999999999996</v>
      </c>
      <c r="K126" s="828">
        <v>5.9999999999999609E-2</v>
      </c>
      <c r="L126" s="34"/>
      <c r="M126" s="833">
        <v>38776</v>
      </c>
      <c r="N126" s="826">
        <v>5.7386999999999997</v>
      </c>
      <c r="O126" s="826">
        <v>5.6961000000000004</v>
      </c>
      <c r="P126" s="828">
        <v>-4.2599999999999305E-2</v>
      </c>
      <c r="Q126" s="834">
        <v>40968</v>
      </c>
      <c r="R126" s="835">
        <v>3.5</v>
      </c>
      <c r="S126" s="835">
        <v>3.98</v>
      </c>
      <c r="T126" s="828">
        <v>0.48</v>
      </c>
      <c r="U126" s="849">
        <v>43159</v>
      </c>
      <c r="V126" s="846">
        <v>2.41</v>
      </c>
      <c r="W126" s="846">
        <v>2.96</v>
      </c>
      <c r="X126" s="690">
        <v>0.54999999999999982</v>
      </c>
      <c r="Z126" s="34"/>
      <c r="AA126" s="1445"/>
      <c r="AB126" s="34"/>
      <c r="AC126" s="846"/>
    </row>
    <row r="127" spans="1:31" ht="12.75" hidden="1" customHeight="1">
      <c r="A127" s="34"/>
      <c r="B127" s="34"/>
      <c r="C127" s="34"/>
      <c r="D127" s="34"/>
      <c r="E127" s="34"/>
      <c r="F127" s="34"/>
      <c r="G127" s="34"/>
      <c r="H127" s="833">
        <v>36616</v>
      </c>
      <c r="I127" s="826">
        <v>7.0365000000000002</v>
      </c>
      <c r="J127" s="840">
        <v>7.0556999999999999</v>
      </c>
      <c r="K127" s="828">
        <v>1.9199999999999662E-2</v>
      </c>
      <c r="L127" s="34"/>
      <c r="M127" s="833">
        <v>38807</v>
      </c>
      <c r="N127" s="826">
        <v>5.8034999999999997</v>
      </c>
      <c r="O127" s="840">
        <v>5.7187000000000001</v>
      </c>
      <c r="P127" s="828">
        <v>-8.4799999999999542E-2</v>
      </c>
      <c r="Q127" s="834">
        <v>40999</v>
      </c>
      <c r="R127" s="835">
        <v>3.71</v>
      </c>
      <c r="S127" s="815">
        <v>4.17</v>
      </c>
      <c r="T127" s="828">
        <v>0.45999999999999996</v>
      </c>
      <c r="U127" s="841">
        <v>43162</v>
      </c>
      <c r="V127" s="846">
        <v>2.37</v>
      </c>
      <c r="W127" s="847">
        <v>2.87</v>
      </c>
      <c r="X127" s="690">
        <v>0.5</v>
      </c>
      <c r="Z127" s="34"/>
      <c r="AA127" s="1445"/>
      <c r="AB127" s="34"/>
      <c r="AC127" s="846"/>
    </row>
    <row r="128" spans="1:31" ht="12.75" hidden="1" customHeight="1">
      <c r="A128" s="34"/>
      <c r="B128" s="34"/>
      <c r="C128" s="34"/>
      <c r="D128" s="34"/>
      <c r="E128" s="34"/>
      <c r="F128" s="34"/>
      <c r="G128" s="34"/>
      <c r="H128" s="833">
        <v>36646</v>
      </c>
      <c r="I128" s="826">
        <v>6.8959000000000001</v>
      </c>
      <c r="J128" s="826">
        <v>6.8429000000000002</v>
      </c>
      <c r="K128" s="828">
        <v>-5.2999999999999936E-2</v>
      </c>
      <c r="L128" s="34"/>
      <c r="M128" s="833">
        <v>38837</v>
      </c>
      <c r="N128" s="826">
        <v>5.8281999999999998</v>
      </c>
      <c r="O128" s="826">
        <v>5.74</v>
      </c>
      <c r="P128" s="828">
        <v>-8.8199999999999612E-2</v>
      </c>
      <c r="Q128" s="834">
        <v>41029</v>
      </c>
      <c r="R128" s="835">
        <v>3.54</v>
      </c>
      <c r="S128" s="835">
        <v>3.98</v>
      </c>
      <c r="T128" s="828">
        <v>0.43999999999999995</v>
      </c>
      <c r="U128" s="834">
        <v>43220</v>
      </c>
      <c r="V128" s="846">
        <v>2.37</v>
      </c>
      <c r="W128" s="846">
        <v>2.82</v>
      </c>
      <c r="X128" s="690">
        <v>0.44999999999999973</v>
      </c>
      <c r="Z128" s="34"/>
      <c r="AA128" s="1445"/>
      <c r="AB128" s="34"/>
      <c r="AC128" s="846"/>
    </row>
    <row r="129" spans="1:31" ht="12.75" hidden="1" customHeight="1">
      <c r="A129" s="34"/>
      <c r="B129" s="34"/>
      <c r="C129" s="34"/>
      <c r="D129" s="34"/>
      <c r="E129" s="34"/>
      <c r="F129" s="34"/>
      <c r="G129" s="34"/>
      <c r="H129" s="833">
        <v>36677</v>
      </c>
      <c r="I129" s="826">
        <v>7.1226000000000003</v>
      </c>
      <c r="J129" s="826">
        <v>7.0995999999999997</v>
      </c>
      <c r="K129" s="828">
        <v>-2.3000000000000576E-2</v>
      </c>
      <c r="L129" s="34"/>
      <c r="M129" s="833">
        <v>38868</v>
      </c>
      <c r="N129" s="826">
        <v>5.9122000000000003</v>
      </c>
      <c r="O129" s="826">
        <v>5.8093000000000004</v>
      </c>
      <c r="P129" s="828">
        <v>-0.10289999999999999</v>
      </c>
      <c r="Q129" s="834">
        <v>41060</v>
      </c>
      <c r="R129" s="835">
        <v>2.98</v>
      </c>
      <c r="S129" s="835">
        <v>3.66</v>
      </c>
      <c r="T129" s="828">
        <v>0.68000000000000016</v>
      </c>
      <c r="U129" s="834">
        <v>43221</v>
      </c>
      <c r="V129" s="846">
        <v>2.3199999999999998</v>
      </c>
      <c r="W129" s="846">
        <v>2.78</v>
      </c>
      <c r="X129" s="690">
        <v>0.45999999999999996</v>
      </c>
      <c r="Z129" s="34"/>
      <c r="AA129" s="34"/>
      <c r="AB129" s="34"/>
      <c r="AC129" s="34"/>
      <c r="AD129" s="34"/>
      <c r="AE129" s="34"/>
    </row>
    <row r="130" spans="1:31" ht="12.75" hidden="1" customHeight="1">
      <c r="A130" s="34"/>
      <c r="B130" s="34"/>
      <c r="C130" s="34"/>
      <c r="D130" s="34"/>
      <c r="E130" s="34"/>
      <c r="F130" s="34"/>
      <c r="G130" s="34"/>
      <c r="H130" s="833">
        <v>36707</v>
      </c>
      <c r="I130" s="826">
        <v>6.9405000000000001</v>
      </c>
      <c r="J130" s="827">
        <v>6.8486000000000002</v>
      </c>
      <c r="K130" s="828">
        <v>-9.1899999999999871E-2</v>
      </c>
      <c r="L130" s="34"/>
      <c r="M130" s="833">
        <v>38898</v>
      </c>
      <c r="N130" s="826">
        <v>5.9686000000000003</v>
      </c>
      <c r="O130" s="827">
        <v>5.8376000000000001</v>
      </c>
      <c r="P130" s="828">
        <v>-0.13100000000000023</v>
      </c>
      <c r="Q130" s="834">
        <v>41090</v>
      </c>
      <c r="R130" s="835">
        <v>2.83</v>
      </c>
      <c r="S130" s="817">
        <v>3.4</v>
      </c>
      <c r="T130" s="828">
        <v>0.56999999999999984</v>
      </c>
      <c r="U130" s="841">
        <v>43281</v>
      </c>
      <c r="V130" s="846">
        <v>2.2799999999999998</v>
      </c>
      <c r="W130" s="848">
        <v>2.9</v>
      </c>
      <c r="X130" s="690">
        <v>0.62000000000000011</v>
      </c>
      <c r="Z130" s="34"/>
      <c r="AA130" s="34"/>
      <c r="AB130" s="34"/>
    </row>
    <row r="131" spans="1:31" ht="12.75" hidden="1" customHeight="1">
      <c r="A131" s="34"/>
      <c r="B131" s="34"/>
      <c r="C131" s="34"/>
      <c r="D131" s="34"/>
      <c r="E131" s="34"/>
      <c r="F131" s="34"/>
      <c r="G131" s="34"/>
      <c r="H131" s="833">
        <v>36738</v>
      </c>
      <c r="I131" s="826">
        <v>6.7438000000000002</v>
      </c>
      <c r="J131" s="826">
        <v>6.7271000000000001</v>
      </c>
      <c r="K131" s="828">
        <v>-1.6700000000000159E-2</v>
      </c>
      <c r="L131" s="34"/>
      <c r="M131" s="833">
        <v>38929</v>
      </c>
      <c r="N131" s="826">
        <v>6.1025999999999998</v>
      </c>
      <c r="O131" s="826">
        <v>5.8807</v>
      </c>
      <c r="P131" s="828">
        <v>-0.22189999999999976</v>
      </c>
      <c r="Q131" s="834">
        <v>41121</v>
      </c>
      <c r="R131" s="835">
        <v>2.86</v>
      </c>
      <c r="S131" s="835">
        <v>3.4</v>
      </c>
      <c r="T131" s="828">
        <v>0.54</v>
      </c>
      <c r="U131" s="841">
        <v>43312</v>
      </c>
      <c r="V131" s="846">
        <v>2.15</v>
      </c>
      <c r="W131" s="846">
        <v>2.81</v>
      </c>
      <c r="X131" s="690">
        <v>0.66000000000000014</v>
      </c>
      <c r="Z131" s="34"/>
      <c r="AA131" s="34"/>
      <c r="AB131" s="34"/>
    </row>
    <row r="132" spans="1:31" ht="12.75" hidden="1" customHeight="1">
      <c r="A132" s="34"/>
      <c r="B132" s="34"/>
      <c r="C132" s="34"/>
      <c r="D132" s="34"/>
      <c r="E132" s="34"/>
      <c r="F132" s="34"/>
      <c r="G132" s="34"/>
      <c r="H132" s="833">
        <v>36769</v>
      </c>
      <c r="I132" s="826">
        <v>6.7039</v>
      </c>
      <c r="J132" s="826">
        <v>6.6773999999999996</v>
      </c>
      <c r="K132" s="828">
        <v>-2.6500000000000412E-2</v>
      </c>
      <c r="L132" s="34"/>
      <c r="M132" s="833">
        <v>38960</v>
      </c>
      <c r="N132" s="826">
        <v>6.1853999999999996</v>
      </c>
      <c r="O132" s="826">
        <v>5.8423999999999996</v>
      </c>
      <c r="P132" s="828">
        <v>-0.34299999999999997</v>
      </c>
      <c r="Q132" s="834">
        <v>41152</v>
      </c>
      <c r="R132" s="835">
        <v>3.04</v>
      </c>
      <c r="S132" s="835">
        <v>3.66</v>
      </c>
      <c r="T132" s="828">
        <v>0.62000000000000011</v>
      </c>
      <c r="U132" s="841">
        <v>43343</v>
      </c>
      <c r="V132" s="846">
        <v>2</v>
      </c>
      <c r="W132" s="846">
        <v>2.63</v>
      </c>
      <c r="X132" s="690">
        <v>0.62999999999999989</v>
      </c>
      <c r="Z132" s="34"/>
      <c r="AA132" s="34"/>
      <c r="AB132" s="34"/>
    </row>
    <row r="133" spans="1:31" ht="12.75" hidden="1" customHeight="1">
      <c r="A133" s="34"/>
      <c r="B133" s="34"/>
      <c r="C133" s="34"/>
      <c r="D133" s="34"/>
      <c r="E133" s="34"/>
      <c r="F133" s="34"/>
      <c r="G133" s="34"/>
      <c r="H133" s="833">
        <v>36799</v>
      </c>
      <c r="I133" s="826">
        <v>6.7533000000000003</v>
      </c>
      <c r="J133" s="826">
        <v>6.7351999999999999</v>
      </c>
      <c r="K133" s="828">
        <v>-1.8100000000000449E-2</v>
      </c>
      <c r="L133" s="34"/>
      <c r="M133" s="833">
        <v>38990</v>
      </c>
      <c r="N133" s="826">
        <v>6.1887999999999996</v>
      </c>
      <c r="O133" s="826">
        <v>5.7960000000000003</v>
      </c>
      <c r="P133" s="828">
        <v>-0.39279999999999937</v>
      </c>
      <c r="Q133" s="834">
        <v>41182</v>
      </c>
      <c r="R133" s="835">
        <v>2.94</v>
      </c>
      <c r="S133" s="835">
        <v>3.57</v>
      </c>
      <c r="T133" s="828">
        <v>0.62999999999999989</v>
      </c>
      <c r="U133" s="841">
        <v>43373</v>
      </c>
      <c r="V133" s="846">
        <v>1.93</v>
      </c>
      <c r="W133" s="846">
        <v>2.6</v>
      </c>
      <c r="X133" s="690">
        <v>0.67000000000000015</v>
      </c>
      <c r="Z133" s="34"/>
      <c r="AA133" s="34"/>
      <c r="AB133" s="34"/>
    </row>
    <row r="134" spans="1:31" ht="12.75" hidden="1" customHeight="1">
      <c r="A134" s="34"/>
      <c r="B134" s="34"/>
      <c r="C134" s="34"/>
      <c r="D134" s="34"/>
      <c r="E134" s="34"/>
      <c r="F134" s="34"/>
      <c r="G134" s="34"/>
      <c r="H134" s="833">
        <v>36830</v>
      </c>
      <c r="I134" s="826">
        <v>6.6909999999999998</v>
      </c>
      <c r="J134" s="826">
        <v>6.7009999999999996</v>
      </c>
      <c r="K134" s="828">
        <v>9.9999999999997868E-3</v>
      </c>
      <c r="L134" s="34"/>
      <c r="M134" s="833">
        <v>39021</v>
      </c>
      <c r="N134" s="826">
        <v>6.2419000000000002</v>
      </c>
      <c r="O134" s="826">
        <v>5.8388</v>
      </c>
      <c r="P134" s="828">
        <v>-0.40310000000000024</v>
      </c>
      <c r="Q134" s="834">
        <v>41213</v>
      </c>
      <c r="R134" s="835">
        <v>2.85</v>
      </c>
      <c r="S134" s="835">
        <v>3.51</v>
      </c>
      <c r="T134" s="828">
        <v>0.6599999999999997</v>
      </c>
      <c r="U134" s="841">
        <v>43404</v>
      </c>
      <c r="V134" s="846">
        <v>1.98</v>
      </c>
      <c r="W134" s="846">
        <v>2.62</v>
      </c>
      <c r="X134" s="690">
        <v>0.64000000000000012</v>
      </c>
      <c r="Z134" s="34"/>
      <c r="AA134" s="34"/>
      <c r="AB134" s="34"/>
    </row>
    <row r="135" spans="1:31" ht="12.75" hidden="1" customHeight="1">
      <c r="A135" s="34"/>
      <c r="B135" s="34"/>
      <c r="C135" s="34"/>
      <c r="D135" s="34"/>
      <c r="E135" s="34"/>
      <c r="F135" s="34"/>
      <c r="G135" s="34"/>
      <c r="H135" s="833">
        <v>36860</v>
      </c>
      <c r="I135" s="826">
        <v>6.5713999999999997</v>
      </c>
      <c r="J135" s="826">
        <v>6.5936000000000003</v>
      </c>
      <c r="K135" s="828">
        <v>2.2200000000000664E-2</v>
      </c>
      <c r="L135" s="34"/>
      <c r="M135" s="833">
        <v>39051</v>
      </c>
      <c r="N135" s="826">
        <v>6.1593</v>
      </c>
      <c r="O135" s="826">
        <v>5.7131999999999996</v>
      </c>
      <c r="P135" s="828">
        <v>-0.44610000000000039</v>
      </c>
      <c r="Q135" s="834">
        <v>41243</v>
      </c>
      <c r="R135" s="835">
        <v>2.83</v>
      </c>
      <c r="S135" s="835">
        <v>3.47</v>
      </c>
      <c r="T135" s="828">
        <v>0.64000000000000012</v>
      </c>
      <c r="U135" s="841">
        <v>43434</v>
      </c>
      <c r="V135" s="846">
        <v>2.11</v>
      </c>
      <c r="W135" s="846">
        <v>2.69</v>
      </c>
      <c r="X135" s="690">
        <v>0.58000000000000007</v>
      </c>
      <c r="Z135" s="34"/>
      <c r="AA135" s="34"/>
      <c r="AB135" s="34"/>
    </row>
    <row r="136" spans="1:31" ht="12.75" hidden="1" customHeight="1">
      <c r="A136" s="34"/>
      <c r="B136" s="34"/>
      <c r="C136" s="34"/>
      <c r="D136" s="34"/>
      <c r="E136" s="34"/>
      <c r="F136" s="34"/>
      <c r="G136" s="34"/>
      <c r="H136" s="833">
        <v>36891</v>
      </c>
      <c r="I136" s="826">
        <v>6.1753</v>
      </c>
      <c r="J136" s="836">
        <v>6.1494999999999997</v>
      </c>
      <c r="K136" s="828">
        <v>-2.5800000000000267E-2</v>
      </c>
      <c r="L136" s="34"/>
      <c r="M136" s="833">
        <v>39082</v>
      </c>
      <c r="N136" s="826">
        <v>6.2157999999999998</v>
      </c>
      <c r="O136" s="836">
        <v>5.7671000000000001</v>
      </c>
      <c r="P136" s="828">
        <v>-0.44869999999999965</v>
      </c>
      <c r="Q136" s="834">
        <v>41274</v>
      </c>
      <c r="R136" s="835">
        <v>2.91</v>
      </c>
      <c r="S136" s="837">
        <v>3.56</v>
      </c>
      <c r="T136" s="828">
        <v>0.64999999999999991</v>
      </c>
      <c r="U136" s="841">
        <v>43465</v>
      </c>
      <c r="V136" s="846">
        <v>1.92</v>
      </c>
      <c r="W136" s="850">
        <v>2.4500000000000002</v>
      </c>
      <c r="X136" s="690">
        <v>0.53000000000000025</v>
      </c>
      <c r="Z136" s="34"/>
      <c r="AA136" s="34"/>
      <c r="AB136" s="34"/>
    </row>
    <row r="137" spans="1:31" ht="12.75" hidden="1" customHeight="1">
      <c r="A137" s="34"/>
      <c r="B137" s="34"/>
      <c r="C137" s="34"/>
      <c r="D137" s="34"/>
      <c r="E137" s="34"/>
      <c r="F137" s="34"/>
      <c r="G137" s="34"/>
      <c r="H137" s="833">
        <v>36922</v>
      </c>
      <c r="I137" s="826">
        <v>5.9856999999999996</v>
      </c>
      <c r="J137" s="838">
        <v>6.0586000000000002</v>
      </c>
      <c r="K137" s="828">
        <v>7.2900000000000631E-2</v>
      </c>
      <c r="L137" s="34"/>
      <c r="M137" s="833">
        <v>39113</v>
      </c>
      <c r="N137" s="826">
        <v>6.3018999999999998</v>
      </c>
      <c r="O137" s="838">
        <v>5.9302000000000001</v>
      </c>
      <c r="P137" s="828">
        <v>-0.3716999999999997</v>
      </c>
      <c r="Q137" s="834">
        <v>41305</v>
      </c>
      <c r="R137" s="835">
        <v>2.9</v>
      </c>
      <c r="S137" s="839">
        <v>3.55</v>
      </c>
      <c r="T137" s="828">
        <v>0.64999999999999991</v>
      </c>
      <c r="U137" s="834">
        <v>43496</v>
      </c>
      <c r="V137" s="846">
        <v>1.8</v>
      </c>
      <c r="W137" s="1050">
        <v>2.33</v>
      </c>
      <c r="X137" s="690">
        <v>0.53</v>
      </c>
      <c r="Z137" s="34"/>
      <c r="AA137" s="34"/>
      <c r="AB137" s="34"/>
    </row>
    <row r="138" spans="1:31" ht="12.75" hidden="1" customHeight="1">
      <c r="A138" s="34"/>
      <c r="B138" s="34"/>
      <c r="C138" s="34"/>
      <c r="D138" s="34"/>
      <c r="E138" s="34"/>
      <c r="F138" s="34"/>
      <c r="G138" s="34"/>
      <c r="H138" s="833">
        <v>36950</v>
      </c>
      <c r="I138" s="826">
        <v>5.8989000000000003</v>
      </c>
      <c r="J138" s="826">
        <v>6.0426000000000002</v>
      </c>
      <c r="K138" s="828">
        <v>0.14369999999999994</v>
      </c>
      <c r="L138" s="34"/>
      <c r="M138" s="833">
        <v>39141</v>
      </c>
      <c r="N138" s="826">
        <v>6.3723999999999998</v>
      </c>
      <c r="O138" s="826">
        <v>5.9405000000000001</v>
      </c>
      <c r="P138" s="828">
        <v>-0.43189999999999973</v>
      </c>
      <c r="Q138" s="834">
        <v>41333</v>
      </c>
      <c r="R138" s="835">
        <v>3.13</v>
      </c>
      <c r="S138" s="835">
        <v>3.81</v>
      </c>
      <c r="T138" s="828">
        <v>0.68000000000000016</v>
      </c>
      <c r="U138" s="834">
        <v>43524</v>
      </c>
      <c r="V138" s="846">
        <v>1.7</v>
      </c>
      <c r="W138" s="846">
        <v>2.1800000000000002</v>
      </c>
      <c r="X138" s="690">
        <v>0.4800000000000002</v>
      </c>
      <c r="Z138" s="34"/>
      <c r="AA138" s="34"/>
      <c r="AB138" s="34"/>
    </row>
    <row r="139" spans="1:31" ht="12.75" hidden="1" customHeight="1">
      <c r="A139" s="34"/>
      <c r="B139" s="34"/>
      <c r="C139" s="34"/>
      <c r="D139" s="34"/>
      <c r="E139" s="34"/>
      <c r="F139" s="34"/>
      <c r="G139" s="34"/>
      <c r="H139" s="833">
        <v>36981</v>
      </c>
      <c r="I139" s="826">
        <v>5.7408999999999999</v>
      </c>
      <c r="J139" s="840">
        <v>5.95</v>
      </c>
      <c r="K139" s="828">
        <v>0.20910000000000029</v>
      </c>
      <c r="L139" s="34"/>
      <c r="M139" s="833">
        <v>39172</v>
      </c>
      <c r="N139" s="826">
        <v>6.5045000000000002</v>
      </c>
      <c r="O139" s="840">
        <v>5.8685999999999998</v>
      </c>
      <c r="P139" s="828">
        <v>-0.63590000000000035</v>
      </c>
      <c r="Q139" s="834">
        <v>41364</v>
      </c>
      <c r="R139" s="835">
        <v>3.05</v>
      </c>
      <c r="S139" s="815">
        <v>3.72</v>
      </c>
      <c r="T139" s="828">
        <v>0.67000000000000037</v>
      </c>
      <c r="U139" s="834">
        <v>43525</v>
      </c>
      <c r="V139" s="846">
        <v>1.59</v>
      </c>
      <c r="W139" s="847">
        <v>2.02</v>
      </c>
      <c r="X139" s="690">
        <v>0.42999999999999994</v>
      </c>
      <c r="Z139" s="34"/>
      <c r="AA139" s="34"/>
      <c r="AB139" s="34"/>
    </row>
    <row r="140" spans="1:31" ht="12.75" hidden="1" customHeight="1">
      <c r="A140" s="34"/>
      <c r="B140" s="34"/>
      <c r="C140" s="34"/>
      <c r="D140" s="34"/>
      <c r="E140" s="34"/>
      <c r="F140" s="34"/>
      <c r="G140" s="34"/>
      <c r="H140" s="833">
        <v>37011</v>
      </c>
      <c r="I140" s="826">
        <v>5.9744000000000002</v>
      </c>
      <c r="J140" s="826">
        <v>6.2549999999999999</v>
      </c>
      <c r="K140" s="828">
        <v>0.28059999999999974</v>
      </c>
      <c r="L140" s="34"/>
      <c r="M140" s="833">
        <v>39202</v>
      </c>
      <c r="N140" s="826">
        <v>6.7146999999999997</v>
      </c>
      <c r="O140" s="826">
        <v>6.0583</v>
      </c>
      <c r="P140" s="828">
        <v>-0.65639999999999965</v>
      </c>
      <c r="Q140" s="834">
        <v>41394</v>
      </c>
      <c r="R140" s="835">
        <v>2.75</v>
      </c>
      <c r="S140" s="835">
        <v>3.33</v>
      </c>
      <c r="T140" s="828">
        <v>0.58000000000000007</v>
      </c>
      <c r="U140" s="834">
        <v>43585</v>
      </c>
      <c r="V140" s="846">
        <v>1.5</v>
      </c>
      <c r="W140" s="34">
        <v>1.96</v>
      </c>
      <c r="X140" s="690">
        <v>0.45999999999999996</v>
      </c>
      <c r="Z140" s="34"/>
      <c r="AA140" s="34"/>
      <c r="AB140" s="34"/>
    </row>
    <row r="141" spans="1:31" ht="12.75" hidden="1" customHeight="1">
      <c r="A141" s="34"/>
      <c r="B141" s="34"/>
      <c r="C141" s="34"/>
      <c r="D141" s="34"/>
      <c r="E141" s="34"/>
      <c r="F141" s="34"/>
      <c r="G141" s="34"/>
      <c r="H141" s="833">
        <v>37042</v>
      </c>
      <c r="I141" s="826">
        <v>6.3296000000000001</v>
      </c>
      <c r="J141" s="826">
        <v>6.6165000000000003</v>
      </c>
      <c r="K141" s="828">
        <v>0.28690000000000015</v>
      </c>
      <c r="L141" s="34"/>
      <c r="M141" s="833">
        <v>39233</v>
      </c>
      <c r="N141" s="826">
        <v>6.8023999999999996</v>
      </c>
      <c r="O141" s="826">
        <v>6.165</v>
      </c>
      <c r="P141" s="828">
        <v>-0.63739999999999952</v>
      </c>
      <c r="Q141" s="852">
        <v>41425</v>
      </c>
      <c r="R141" s="853">
        <v>2.8</v>
      </c>
      <c r="S141" s="853">
        <v>3.37</v>
      </c>
      <c r="T141" s="828">
        <v>0.57000000000000028</v>
      </c>
      <c r="U141" s="834">
        <v>43586</v>
      </c>
      <c r="V141" s="846">
        <v>1.58</v>
      </c>
      <c r="W141" s="34">
        <v>1.79</v>
      </c>
      <c r="X141" s="690">
        <v>0.20999999999999996</v>
      </c>
      <c r="Z141" s="34"/>
      <c r="AA141" s="34"/>
      <c r="AB141" s="34"/>
    </row>
    <row r="142" spans="1:31" ht="12.75" hidden="1" customHeight="1">
      <c r="A142" s="34"/>
      <c r="B142" s="34"/>
      <c r="C142" s="34"/>
      <c r="D142" s="34"/>
      <c r="E142" s="34"/>
      <c r="F142" s="34"/>
      <c r="G142" s="34"/>
      <c r="H142" s="833">
        <v>37072</v>
      </c>
      <c r="I142" s="826">
        <v>6.4480000000000004</v>
      </c>
      <c r="J142" s="827">
        <v>6.6319999999999997</v>
      </c>
      <c r="K142" s="828">
        <v>0.18399999999999928</v>
      </c>
      <c r="L142" s="34"/>
      <c r="M142" s="833">
        <v>39263</v>
      </c>
      <c r="N142" s="826">
        <v>7.1342999999999996</v>
      </c>
      <c r="O142" s="827">
        <v>6.7169999999999996</v>
      </c>
      <c r="P142" s="828">
        <v>-0.4173</v>
      </c>
      <c r="Q142" s="834">
        <v>41455</v>
      </c>
      <c r="R142" s="835">
        <v>3.16</v>
      </c>
      <c r="S142" s="817">
        <v>3.83</v>
      </c>
      <c r="T142" s="809">
        <v>0.66999999999999993</v>
      </c>
      <c r="U142" s="841">
        <v>43646</v>
      </c>
      <c r="V142" s="846">
        <v>1.3</v>
      </c>
      <c r="W142" s="455">
        <v>1.63</v>
      </c>
      <c r="X142" s="690">
        <v>0.32999999999999985</v>
      </c>
      <c r="Z142" s="34"/>
      <c r="AA142" s="34"/>
      <c r="AB142" s="34"/>
    </row>
    <row r="143" spans="1:31" ht="12.75" hidden="1" customHeight="1">
      <c r="A143" s="34"/>
      <c r="B143" s="34"/>
      <c r="C143" s="34"/>
      <c r="D143" s="34"/>
      <c r="E143" s="34"/>
      <c r="F143" s="34"/>
      <c r="G143" s="34"/>
      <c r="H143" s="833">
        <v>37103</v>
      </c>
      <c r="I143" s="826">
        <v>6.5945</v>
      </c>
      <c r="J143" s="826">
        <v>6.7431999999999999</v>
      </c>
      <c r="K143" s="828">
        <v>0.14869999999999983</v>
      </c>
      <c r="L143" s="34"/>
      <c r="M143" s="833">
        <v>39294</v>
      </c>
      <c r="N143" s="826">
        <v>7.2773000000000003</v>
      </c>
      <c r="O143" s="826">
        <v>6.7725</v>
      </c>
      <c r="P143" s="828">
        <v>-0.50480000000000036</v>
      </c>
      <c r="Q143" s="834">
        <v>41486</v>
      </c>
      <c r="R143" s="835">
        <v>3.49</v>
      </c>
      <c r="S143" s="835">
        <v>4.2300000000000004</v>
      </c>
      <c r="T143" s="809">
        <v>0.74000000000000021</v>
      </c>
      <c r="U143" s="849">
        <v>43677</v>
      </c>
      <c r="V143" s="846">
        <v>1.23</v>
      </c>
      <c r="W143" s="846">
        <v>1.55</v>
      </c>
      <c r="X143" s="690">
        <v>0.32000000000000006</v>
      </c>
      <c r="Z143" s="34"/>
      <c r="AA143" s="34"/>
      <c r="AB143" s="34"/>
    </row>
    <row r="144" spans="1:31" ht="12.75" hidden="1" customHeight="1">
      <c r="A144" s="34"/>
      <c r="B144" s="34"/>
      <c r="C144" s="34"/>
      <c r="D144" s="34"/>
      <c r="E144" s="34"/>
      <c r="F144" s="34"/>
      <c r="G144" s="34"/>
      <c r="H144" s="833">
        <v>37134</v>
      </c>
      <c r="I144" s="826">
        <v>6.4169999999999998</v>
      </c>
      <c r="J144" s="826">
        <v>6.5773999999999999</v>
      </c>
      <c r="K144" s="828">
        <v>0.1604000000000001</v>
      </c>
      <c r="L144" s="34"/>
      <c r="M144" s="854">
        <v>39325</v>
      </c>
      <c r="N144" s="826">
        <v>7.0145999999999997</v>
      </c>
      <c r="O144" s="826">
        <v>6.3979999999999997</v>
      </c>
      <c r="P144" s="828">
        <v>-0.61660000000000004</v>
      </c>
      <c r="Q144" s="834">
        <v>41517</v>
      </c>
      <c r="R144" s="835">
        <v>4</v>
      </c>
      <c r="S144" s="835">
        <v>4.47</v>
      </c>
      <c r="T144" s="809">
        <v>0.46999999999999975</v>
      </c>
      <c r="U144" s="849">
        <v>43708</v>
      </c>
      <c r="V144" s="846">
        <v>0.88</v>
      </c>
      <c r="W144" s="846">
        <v>1.1299999999999999</v>
      </c>
      <c r="X144" s="690">
        <v>0.24999999999999989</v>
      </c>
      <c r="Z144" s="34"/>
      <c r="AA144" s="34"/>
      <c r="AB144" s="34"/>
    </row>
    <row r="145" spans="1:28" ht="12.75" hidden="1" customHeight="1">
      <c r="A145" s="34"/>
      <c r="B145" s="34"/>
      <c r="C145" s="34"/>
      <c r="D145" s="34"/>
      <c r="E145" s="34"/>
      <c r="F145" s="34"/>
      <c r="G145" s="34"/>
      <c r="H145" s="833">
        <v>37164</v>
      </c>
      <c r="I145" s="826">
        <v>6.2095000000000002</v>
      </c>
      <c r="J145" s="826">
        <v>6.524</v>
      </c>
      <c r="K145" s="828">
        <v>0.31449999999999978</v>
      </c>
      <c r="L145" s="34"/>
      <c r="M145" s="854">
        <v>39355</v>
      </c>
      <c r="N145" s="826">
        <v>6.5503</v>
      </c>
      <c r="O145" s="826">
        <v>6.1595000000000004</v>
      </c>
      <c r="P145" s="828">
        <v>-0.39079999999999959</v>
      </c>
      <c r="Q145" s="834">
        <v>41547</v>
      </c>
      <c r="R145" s="835">
        <v>4.22</v>
      </c>
      <c r="S145" s="835">
        <v>4.7</v>
      </c>
      <c r="T145" s="809">
        <v>0.48000000000000043</v>
      </c>
      <c r="U145" s="849">
        <v>43738</v>
      </c>
      <c r="V145" s="846">
        <v>0.91</v>
      </c>
      <c r="W145" s="846">
        <v>1.1599999999999999</v>
      </c>
      <c r="X145" s="690">
        <v>0.24999999999999989</v>
      </c>
      <c r="Z145" s="34"/>
      <c r="AA145" s="34"/>
      <c r="AB145" s="34"/>
    </row>
    <row r="146" spans="1:28" ht="12.75" hidden="1" customHeight="1">
      <c r="A146" s="34"/>
      <c r="B146" s="34"/>
      <c r="C146" s="34"/>
      <c r="D146" s="34"/>
      <c r="E146" s="34"/>
      <c r="F146" s="34"/>
      <c r="G146" s="34"/>
      <c r="H146" s="833">
        <v>37195</v>
      </c>
      <c r="I146" s="826">
        <v>5.8868</v>
      </c>
      <c r="J146" s="826">
        <v>6.4040999999999997</v>
      </c>
      <c r="K146" s="828">
        <v>0.51729999999999965</v>
      </c>
      <c r="L146" s="34"/>
      <c r="M146" s="854">
        <v>39386</v>
      </c>
      <c r="N146" s="826">
        <v>6.8133999999999997</v>
      </c>
      <c r="O146" s="826">
        <v>6.3681999999999999</v>
      </c>
      <c r="P146" s="828">
        <v>-0.44519999999999982</v>
      </c>
      <c r="Q146" s="834">
        <v>41578</v>
      </c>
      <c r="R146" s="835">
        <v>4.22</v>
      </c>
      <c r="S146" s="835">
        <v>4.6500000000000004</v>
      </c>
      <c r="T146" s="809">
        <v>0.4300000000000006</v>
      </c>
      <c r="U146" s="849">
        <v>43769</v>
      </c>
      <c r="V146" s="846">
        <v>0.89</v>
      </c>
      <c r="W146" s="846">
        <v>1.1599999999999999</v>
      </c>
      <c r="X146" s="690">
        <v>0.26999999999999991</v>
      </c>
      <c r="Z146" s="34"/>
      <c r="AA146" s="34"/>
      <c r="AB146" s="34"/>
    </row>
    <row r="147" spans="1:28" ht="12.75" hidden="1" customHeight="1">
      <c r="A147" s="34"/>
      <c r="B147" s="34"/>
      <c r="C147" s="34"/>
      <c r="D147" s="34"/>
      <c r="E147" s="34"/>
      <c r="F147" s="34"/>
      <c r="G147" s="34"/>
      <c r="H147" s="833">
        <v>37225</v>
      </c>
      <c r="I147" s="826">
        <v>5.7895000000000003</v>
      </c>
      <c r="J147" s="826">
        <v>6.2949999999999999</v>
      </c>
      <c r="K147" s="828">
        <v>0.50549999999999962</v>
      </c>
      <c r="L147" s="34"/>
      <c r="M147" s="854">
        <v>39416</v>
      </c>
      <c r="N147" s="826">
        <v>7.0418000000000003</v>
      </c>
      <c r="O147" s="826">
        <v>6.3895</v>
      </c>
      <c r="P147" s="828">
        <v>-0.65230000000000032</v>
      </c>
      <c r="Q147" s="834">
        <v>41608</v>
      </c>
      <c r="R147" s="835">
        <v>4.21</v>
      </c>
      <c r="S147" s="835">
        <v>4.7</v>
      </c>
      <c r="T147" s="809">
        <v>0.49000000000000021</v>
      </c>
      <c r="U147" s="849">
        <v>43799</v>
      </c>
      <c r="V147" s="846">
        <v>1.0900000000000001</v>
      </c>
      <c r="W147" s="846">
        <v>1.35</v>
      </c>
      <c r="X147" s="690">
        <v>0.26</v>
      </c>
      <c r="Z147" s="34"/>
      <c r="AA147" s="34"/>
      <c r="AB147" s="34"/>
    </row>
    <row r="148" spans="1:28" ht="12.75" hidden="1" customHeight="1">
      <c r="A148" s="34"/>
      <c r="B148" s="34"/>
      <c r="C148" s="34"/>
      <c r="D148" s="34"/>
      <c r="E148" s="34"/>
      <c r="F148" s="34"/>
      <c r="G148" s="34"/>
      <c r="H148" s="833">
        <v>37256</v>
      </c>
      <c r="I148" s="826">
        <v>6.1874000000000002</v>
      </c>
      <c r="J148" s="836">
        <v>6.6215999999999999</v>
      </c>
      <c r="K148" s="828">
        <v>0.4341999999999997</v>
      </c>
      <c r="L148" s="34"/>
      <c r="M148" s="854">
        <v>39447</v>
      </c>
      <c r="N148" s="826">
        <v>7.1634000000000002</v>
      </c>
      <c r="O148" s="836">
        <v>6.3949999999999996</v>
      </c>
      <c r="P148" s="828">
        <v>-0.76840000000000064</v>
      </c>
      <c r="Q148" s="834">
        <v>41639</v>
      </c>
      <c r="R148" s="835">
        <v>4.2699999999999996</v>
      </c>
      <c r="S148" s="837">
        <v>4.76</v>
      </c>
      <c r="T148" s="809">
        <v>0.49000000000000021</v>
      </c>
      <c r="U148" s="849">
        <v>43800</v>
      </c>
      <c r="V148" s="846">
        <v>1.27</v>
      </c>
      <c r="W148" s="850">
        <v>1.53</v>
      </c>
      <c r="X148" s="690">
        <v>0.26</v>
      </c>
      <c r="Z148" s="34"/>
      <c r="AA148" s="846"/>
      <c r="AB148" s="846"/>
    </row>
    <row r="149" spans="1:28" ht="12.75" hidden="1" customHeight="1">
      <c r="A149" s="34"/>
      <c r="B149" s="34"/>
      <c r="C149" s="34"/>
      <c r="D149" s="34"/>
      <c r="E149" s="34"/>
      <c r="F149" s="34"/>
      <c r="G149" s="34"/>
      <c r="H149" s="833">
        <v>37287</v>
      </c>
      <c r="I149" s="826">
        <v>6.2466999999999997</v>
      </c>
      <c r="J149" s="838">
        <v>6.5810000000000004</v>
      </c>
      <c r="K149" s="828">
        <v>0.33430000000000071</v>
      </c>
      <c r="L149" s="34"/>
      <c r="M149" s="854">
        <v>39478</v>
      </c>
      <c r="N149" s="826">
        <v>7.0061999999999998</v>
      </c>
      <c r="O149" s="838">
        <v>6.2826000000000004</v>
      </c>
      <c r="P149" s="828">
        <v>-0.72359999999999935</v>
      </c>
      <c r="Q149" s="834">
        <v>41670</v>
      </c>
      <c r="R149" s="835">
        <v>4.16</v>
      </c>
      <c r="S149" s="839">
        <v>4.6399999999999997</v>
      </c>
      <c r="T149" s="809">
        <v>0.47999999999999954</v>
      </c>
      <c r="U149" s="834">
        <v>43861</v>
      </c>
      <c r="V149" s="846">
        <v>1.21</v>
      </c>
      <c r="W149" s="851">
        <v>1.48</v>
      </c>
      <c r="X149" s="690">
        <v>0.27</v>
      </c>
      <c r="Z149" s="34"/>
      <c r="AA149" s="34"/>
      <c r="AB149" s="34"/>
    </row>
    <row r="150" spans="1:28" ht="12.75" hidden="1" customHeight="1">
      <c r="A150" s="34"/>
      <c r="B150" s="34"/>
      <c r="C150" s="34"/>
      <c r="D150" s="34"/>
      <c r="E150" s="34"/>
      <c r="F150" s="34"/>
      <c r="G150" s="34"/>
      <c r="H150" s="833">
        <v>37315</v>
      </c>
      <c r="I150" s="826">
        <v>6.3532000000000002</v>
      </c>
      <c r="J150" s="826">
        <v>6.61</v>
      </c>
      <c r="K150" s="828">
        <v>0.25680000000000014</v>
      </c>
      <c r="L150" s="34"/>
      <c r="M150" s="854">
        <v>39507</v>
      </c>
      <c r="N150" s="826">
        <v>6.9264999999999999</v>
      </c>
      <c r="O150" s="826">
        <v>6.4023000000000003</v>
      </c>
      <c r="P150" s="828">
        <v>-0.52419999999999956</v>
      </c>
      <c r="Q150" s="834">
        <v>41698</v>
      </c>
      <c r="R150" s="835">
        <v>4.0599999999999996</v>
      </c>
      <c r="S150" s="835">
        <v>4.57</v>
      </c>
      <c r="T150" s="809">
        <v>0.51000000000000068</v>
      </c>
      <c r="U150" s="834">
        <v>43889</v>
      </c>
      <c r="V150" s="846">
        <v>1.07</v>
      </c>
      <c r="W150" s="846">
        <v>1.28</v>
      </c>
      <c r="X150" s="690">
        <v>0.20999999999999996</v>
      </c>
      <c r="Z150" s="846"/>
      <c r="AA150" s="846"/>
      <c r="AB150" s="34"/>
    </row>
    <row r="151" spans="1:28" ht="12.75" hidden="1" customHeight="1">
      <c r="A151" s="34"/>
      <c r="B151" s="34"/>
      <c r="C151" s="34"/>
      <c r="D151" s="34"/>
      <c r="E151" s="34"/>
      <c r="F151" s="34"/>
      <c r="G151" s="34"/>
      <c r="H151" s="833">
        <v>37346</v>
      </c>
      <c r="I151" s="826">
        <v>6.6704999999999997</v>
      </c>
      <c r="J151" s="840">
        <v>6.8840000000000003</v>
      </c>
      <c r="K151" s="828">
        <v>0.21350000000000069</v>
      </c>
      <c r="L151" s="34"/>
      <c r="M151" s="854">
        <v>39538</v>
      </c>
      <c r="N151" s="826">
        <v>6.6783999999999999</v>
      </c>
      <c r="O151" s="840">
        <v>6.3628999999999998</v>
      </c>
      <c r="P151" s="828">
        <v>-0.31550000000000011</v>
      </c>
      <c r="Q151" s="834">
        <v>41729</v>
      </c>
      <c r="R151" s="835">
        <v>4.1100000000000003</v>
      </c>
      <c r="S151" s="815">
        <v>4.58</v>
      </c>
      <c r="T151" s="809">
        <v>0.46999999999999975</v>
      </c>
      <c r="U151" s="834">
        <v>43891</v>
      </c>
      <c r="V151" s="846">
        <v>0.77</v>
      </c>
      <c r="W151" s="847">
        <v>1.08</v>
      </c>
      <c r="X151" s="690">
        <v>0.31000000000000005</v>
      </c>
      <c r="Z151" s="34"/>
      <c r="AA151" s="34"/>
      <c r="AB151" s="34"/>
    </row>
    <row r="152" spans="1:28" ht="12.75" hidden="1" customHeight="1">
      <c r="A152" s="34"/>
      <c r="B152" s="34"/>
      <c r="C152" s="34"/>
      <c r="D152" s="34"/>
      <c r="E152" s="34"/>
      <c r="F152" s="34"/>
      <c r="G152" s="34"/>
      <c r="H152" s="833">
        <v>37376</v>
      </c>
      <c r="I152" s="826">
        <v>6.7130000000000001</v>
      </c>
      <c r="J152" s="826">
        <v>6.8674999999999997</v>
      </c>
      <c r="K152" s="828">
        <v>0.15449999999999964</v>
      </c>
      <c r="L152" s="34"/>
      <c r="M152" s="854">
        <v>39568</v>
      </c>
      <c r="N152" s="826">
        <v>6.569</v>
      </c>
      <c r="O152" s="826">
        <v>6.4755000000000003</v>
      </c>
      <c r="P152" s="828">
        <v>-9.3499999999999694E-2</v>
      </c>
      <c r="Q152" s="834">
        <v>41759</v>
      </c>
      <c r="R152" s="835">
        <v>4.2300000000000004</v>
      </c>
      <c r="S152" s="835">
        <v>4.55</v>
      </c>
      <c r="T152" s="809">
        <v>0.3199999999999994</v>
      </c>
      <c r="U152" s="834">
        <v>43951</v>
      </c>
      <c r="V152" s="846">
        <v>0.53</v>
      </c>
      <c r="W152" s="846">
        <v>0.95</v>
      </c>
      <c r="X152" s="690">
        <v>0.41999999999999993</v>
      </c>
      <c r="Z152" s="34"/>
      <c r="AA152" s="34"/>
      <c r="AB152" s="34"/>
    </row>
    <row r="153" spans="1:28" ht="12.75" hidden="1" customHeight="1">
      <c r="A153" s="34"/>
      <c r="B153" s="34"/>
      <c r="C153" s="34"/>
      <c r="D153" s="34"/>
      <c r="E153" s="34"/>
      <c r="F153" s="34"/>
      <c r="G153" s="34"/>
      <c r="H153" s="833">
        <v>37407</v>
      </c>
      <c r="I153" s="826">
        <v>6.6635</v>
      </c>
      <c r="J153" s="826">
        <v>6.8078000000000003</v>
      </c>
      <c r="K153" s="828">
        <v>0.14430000000000032</v>
      </c>
      <c r="L153" s="34"/>
      <c r="M153" s="854">
        <v>39599</v>
      </c>
      <c r="N153" s="826">
        <v>6.5263999999999998</v>
      </c>
      <c r="O153" s="826">
        <v>6.4292999999999996</v>
      </c>
      <c r="P153" s="828">
        <v>-9.7100000000000186E-2</v>
      </c>
      <c r="Q153" s="834">
        <v>41790</v>
      </c>
      <c r="R153" s="835">
        <v>4</v>
      </c>
      <c r="S153" s="835">
        <v>4.29</v>
      </c>
      <c r="T153" s="809">
        <v>0.29000000000000004</v>
      </c>
      <c r="U153" s="834">
        <v>43952</v>
      </c>
      <c r="V153" s="846">
        <v>0.24</v>
      </c>
      <c r="W153" s="846">
        <v>0.64</v>
      </c>
      <c r="X153" s="690">
        <v>0.4</v>
      </c>
      <c r="Z153" s="34"/>
      <c r="AA153" s="34"/>
      <c r="AB153" s="34"/>
    </row>
    <row r="154" spans="1:28" ht="12.75" hidden="1" customHeight="1">
      <c r="A154" s="34"/>
      <c r="B154" s="34"/>
      <c r="C154" s="34"/>
      <c r="D154" s="34"/>
      <c r="E154" s="34"/>
      <c r="F154" s="34"/>
      <c r="G154" s="34"/>
      <c r="H154" s="833">
        <v>37437</v>
      </c>
      <c r="I154" s="826">
        <v>6.48</v>
      </c>
      <c r="J154" s="827">
        <v>6.64</v>
      </c>
      <c r="K154" s="828">
        <v>0.15999999999999925</v>
      </c>
      <c r="L154" s="34"/>
      <c r="M154" s="854">
        <v>39629</v>
      </c>
      <c r="N154" s="826">
        <v>6.4459999999999997</v>
      </c>
      <c r="O154" s="827">
        <v>6.4153000000000002</v>
      </c>
      <c r="P154" s="828">
        <v>-3.0699999999999505E-2</v>
      </c>
      <c r="Q154" s="834">
        <v>41820</v>
      </c>
      <c r="R154" s="835">
        <v>4.08</v>
      </c>
      <c r="S154" s="817">
        <v>4.42</v>
      </c>
      <c r="T154" s="809">
        <v>0.33999999999999986</v>
      </c>
      <c r="U154" s="841">
        <v>44012</v>
      </c>
      <c r="V154" s="855">
        <v>0.43</v>
      </c>
      <c r="W154" s="1051">
        <v>0.9</v>
      </c>
      <c r="X154" s="690">
        <v>0.47000000000000003</v>
      </c>
      <c r="Z154" s="34"/>
      <c r="AA154" s="957"/>
      <c r="AB154" s="957"/>
    </row>
    <row r="155" spans="1:28" ht="12.75" hidden="1" customHeight="1">
      <c r="A155" s="34"/>
      <c r="B155" s="34"/>
      <c r="C155" s="34"/>
      <c r="D155" s="34"/>
      <c r="E155" s="34"/>
      <c r="F155" s="34"/>
      <c r="G155" s="34"/>
      <c r="H155" s="833">
        <v>37468</v>
      </c>
      <c r="I155" s="826">
        <v>6.2896000000000001</v>
      </c>
      <c r="J155" s="826">
        <v>6.5361000000000002</v>
      </c>
      <c r="K155" s="828">
        <v>0.24650000000000016</v>
      </c>
      <c r="L155" s="34"/>
      <c r="M155" s="854">
        <v>39660</v>
      </c>
      <c r="N155" s="826">
        <v>6.1837</v>
      </c>
      <c r="O155" s="826">
        <v>6.1772</v>
      </c>
      <c r="P155" s="828">
        <v>-6.4999999999999503E-3</v>
      </c>
      <c r="Q155" s="834">
        <v>41851</v>
      </c>
      <c r="R155" s="835">
        <v>4.09</v>
      </c>
      <c r="S155" s="835">
        <v>4.37</v>
      </c>
      <c r="T155" s="809">
        <v>0.28000000000000025</v>
      </c>
      <c r="U155" s="849">
        <v>44043</v>
      </c>
      <c r="V155" s="846">
        <v>0.42</v>
      </c>
      <c r="W155" s="846">
        <v>0.91</v>
      </c>
      <c r="X155" s="690">
        <v>0.49000000000000005</v>
      </c>
      <c r="Z155" s="34"/>
      <c r="AA155" s="957"/>
      <c r="AB155" s="957"/>
    </row>
    <row r="156" spans="1:28" ht="12.75" hidden="1" customHeight="1">
      <c r="A156" s="34"/>
      <c r="B156" s="34"/>
      <c r="C156" s="34"/>
      <c r="D156" s="34"/>
      <c r="E156" s="34"/>
      <c r="F156" s="34"/>
      <c r="G156" s="34"/>
      <c r="H156" s="833">
        <v>37499</v>
      </c>
      <c r="I156" s="826">
        <v>6.0781999999999998</v>
      </c>
      <c r="J156" s="826">
        <v>6.3318000000000003</v>
      </c>
      <c r="K156" s="828">
        <v>0.25360000000000049</v>
      </c>
      <c r="L156" s="34"/>
      <c r="M156" s="833">
        <v>39691</v>
      </c>
      <c r="N156" s="826">
        <v>6.1768999999999998</v>
      </c>
      <c r="O156" s="826">
        <v>6.1279000000000003</v>
      </c>
      <c r="P156" s="828">
        <v>-4.8999999999999488E-2</v>
      </c>
      <c r="Q156" s="834">
        <v>41882</v>
      </c>
      <c r="R156" s="835">
        <v>3.98</v>
      </c>
      <c r="S156" s="835">
        <v>4.2</v>
      </c>
      <c r="T156" s="809">
        <v>0.2200000000000002</v>
      </c>
      <c r="U156" s="849">
        <v>44074</v>
      </c>
      <c r="V156" s="846">
        <v>0.25</v>
      </c>
      <c r="W156" s="846">
        <v>0.68</v>
      </c>
      <c r="X156" s="690">
        <v>0.43000000000000005</v>
      </c>
      <c r="Z156" s="34"/>
      <c r="AA156" s="846"/>
      <c r="AB156" s="846"/>
    </row>
    <row r="157" spans="1:28" ht="12.75" hidden="1" customHeight="1">
      <c r="A157" s="34"/>
      <c r="B157" s="34"/>
      <c r="C157" s="34"/>
      <c r="D157" s="34"/>
      <c r="E157" s="34"/>
      <c r="F157" s="34"/>
      <c r="G157" s="34"/>
      <c r="H157" s="833">
        <v>37529</v>
      </c>
      <c r="I157" s="826">
        <v>5.9233000000000002</v>
      </c>
      <c r="J157" s="826">
        <v>6.1692999999999998</v>
      </c>
      <c r="K157" s="828">
        <v>0.24599999999999955</v>
      </c>
      <c r="L157" s="34"/>
      <c r="M157" s="854">
        <v>39721</v>
      </c>
      <c r="N157" s="826">
        <v>5.7727000000000004</v>
      </c>
      <c r="O157" s="826">
        <v>5.8244999999999996</v>
      </c>
      <c r="P157" s="828">
        <v>5.179999999999918E-2</v>
      </c>
      <c r="Q157" s="834">
        <v>41912</v>
      </c>
      <c r="R157" s="835">
        <v>4.01</v>
      </c>
      <c r="S157" s="835">
        <v>4.1900000000000004</v>
      </c>
      <c r="T157" s="809">
        <v>0.1800000000000006</v>
      </c>
      <c r="U157" s="849">
        <v>44104</v>
      </c>
      <c r="V157" s="846">
        <v>0.02</v>
      </c>
      <c r="W157" s="846">
        <v>0.56000000000000005</v>
      </c>
      <c r="X157" s="690">
        <v>0.54</v>
      </c>
      <c r="Z157" s="34"/>
      <c r="AA157" s="846"/>
      <c r="AB157" s="846"/>
    </row>
    <row r="158" spans="1:28" ht="12.75" hidden="1" customHeight="1">
      <c r="A158" s="34"/>
      <c r="B158" s="34"/>
      <c r="C158" s="34"/>
      <c r="D158" s="34"/>
      <c r="E158" s="34"/>
      <c r="F158" s="34"/>
      <c r="G158" s="34"/>
      <c r="H158" s="833">
        <v>37560</v>
      </c>
      <c r="I158" s="826">
        <v>6.0159000000000002</v>
      </c>
      <c r="J158" s="826">
        <v>6.3268000000000004</v>
      </c>
      <c r="K158" s="828">
        <v>0.31090000000000018</v>
      </c>
      <c r="L158" s="34"/>
      <c r="M158" s="854">
        <v>39752</v>
      </c>
      <c r="N158" s="826">
        <v>5.6866000000000003</v>
      </c>
      <c r="O158" s="826">
        <v>5.8616000000000001</v>
      </c>
      <c r="P158" s="828">
        <v>0.17499999999999982</v>
      </c>
      <c r="Q158" s="834">
        <v>41943</v>
      </c>
      <c r="R158" s="835">
        <v>3.94</v>
      </c>
      <c r="S158" s="835">
        <v>4.04</v>
      </c>
      <c r="T158" s="809">
        <v>0.10000000000000009</v>
      </c>
      <c r="U158" s="849">
        <v>44135</v>
      </c>
      <c r="V158" s="846">
        <v>0.03</v>
      </c>
      <c r="W158" s="846">
        <v>0.54</v>
      </c>
      <c r="X158" s="690">
        <v>0.51</v>
      </c>
      <c r="Z158" s="34"/>
      <c r="AA158" s="846"/>
      <c r="AB158" s="846"/>
    </row>
    <row r="159" spans="1:28" ht="12.75" hidden="1" customHeight="1">
      <c r="A159" s="34"/>
      <c r="B159" s="34"/>
      <c r="C159" s="34"/>
      <c r="D159" s="34"/>
      <c r="E159" s="34"/>
      <c r="F159" s="34"/>
      <c r="G159" s="34"/>
      <c r="H159" s="833">
        <v>37590</v>
      </c>
      <c r="I159" s="826">
        <v>5.9509999999999996</v>
      </c>
      <c r="J159" s="826">
        <v>6.2850000000000001</v>
      </c>
      <c r="K159" s="828">
        <v>0.33400000000000052</v>
      </c>
      <c r="L159" s="34"/>
      <c r="M159" s="854">
        <v>39782</v>
      </c>
      <c r="N159" s="826">
        <v>5.4814999999999996</v>
      </c>
      <c r="O159" s="826">
        <v>5.7293000000000003</v>
      </c>
      <c r="P159" s="828">
        <v>0.24780000000000069</v>
      </c>
      <c r="Q159" s="834">
        <v>41973</v>
      </c>
      <c r="R159" s="34">
        <v>3.89</v>
      </c>
      <c r="S159" s="34">
        <v>4.03</v>
      </c>
      <c r="T159" s="809">
        <v>0.14000000000000012</v>
      </c>
      <c r="U159" s="849">
        <v>44165</v>
      </c>
      <c r="V159" s="846">
        <v>0.21</v>
      </c>
      <c r="W159" s="846">
        <v>0.75</v>
      </c>
      <c r="X159" s="690">
        <v>0.54</v>
      </c>
      <c r="Z159" s="34"/>
      <c r="AA159" s="846"/>
      <c r="AB159" s="846"/>
    </row>
    <row r="160" spans="1:28" ht="12.75" hidden="1" customHeight="1">
      <c r="A160" s="34"/>
      <c r="B160" s="34"/>
      <c r="C160" s="34"/>
      <c r="D160" s="34"/>
      <c r="E160" s="34"/>
      <c r="F160" s="34"/>
      <c r="G160" s="34"/>
      <c r="H160" s="833">
        <v>37621</v>
      </c>
      <c r="I160" s="826">
        <v>5.9269999999999996</v>
      </c>
      <c r="J160" s="836">
        <v>6.2770000000000001</v>
      </c>
      <c r="K160" s="828">
        <v>0.35000000000000053</v>
      </c>
      <c r="L160" s="34"/>
      <c r="M160" s="854">
        <v>39813</v>
      </c>
      <c r="N160" s="826">
        <v>4.5792999999999999</v>
      </c>
      <c r="O160" s="836">
        <v>4.8771000000000004</v>
      </c>
      <c r="P160" s="828">
        <v>0.29780000000000051</v>
      </c>
      <c r="Q160" s="834">
        <v>42004</v>
      </c>
      <c r="R160" s="835">
        <v>3.67</v>
      </c>
      <c r="S160" s="837">
        <v>3.77</v>
      </c>
      <c r="T160" s="809">
        <v>0.10000000000000009</v>
      </c>
      <c r="U160" s="849">
        <v>44196</v>
      </c>
      <c r="V160" s="846">
        <v>0.34</v>
      </c>
      <c r="W160" s="846">
        <v>0.92</v>
      </c>
      <c r="X160" s="690">
        <v>0.58000000000000007</v>
      </c>
      <c r="Z160" s="34"/>
    </row>
    <row r="161" spans="1:29" ht="12.75" hidden="1" customHeight="1">
      <c r="A161" s="34"/>
      <c r="B161" s="34"/>
      <c r="C161" s="34"/>
      <c r="D161" s="34"/>
      <c r="E161" s="34"/>
      <c r="F161" s="34"/>
      <c r="G161" s="34"/>
      <c r="H161" s="833">
        <v>37652</v>
      </c>
      <c r="I161" s="826">
        <v>5.7971000000000004</v>
      </c>
      <c r="J161" s="838">
        <v>6.1193</v>
      </c>
      <c r="K161" s="828">
        <v>0.3221999999999996</v>
      </c>
      <c r="L161" s="34"/>
      <c r="M161" s="854">
        <v>39844</v>
      </c>
      <c r="N161" s="826">
        <v>4.0258000000000003</v>
      </c>
      <c r="O161" s="838">
        <v>4.4874999999999998</v>
      </c>
      <c r="P161" s="828">
        <v>0.46169999999999956</v>
      </c>
      <c r="Q161" s="834">
        <v>42035</v>
      </c>
      <c r="R161" s="835">
        <v>3.39</v>
      </c>
      <c r="S161" s="839">
        <v>3.42</v>
      </c>
      <c r="T161" s="809">
        <v>2.9999999999999805E-2</v>
      </c>
      <c r="U161" s="849">
        <v>44227</v>
      </c>
      <c r="V161" s="846">
        <v>0.39</v>
      </c>
      <c r="W161" s="1050">
        <v>1.04</v>
      </c>
      <c r="X161" s="690">
        <v>0.65</v>
      </c>
      <c r="Z161" s="34"/>
    </row>
    <row r="162" spans="1:29" ht="12.75" hidden="1" customHeight="1">
      <c r="A162" s="34"/>
      <c r="B162" s="34"/>
      <c r="C162" s="34"/>
      <c r="D162" s="34"/>
      <c r="E162" s="34"/>
      <c r="F162" s="34"/>
      <c r="G162" s="34"/>
      <c r="H162" s="833">
        <v>37680</v>
      </c>
      <c r="I162" s="826">
        <v>5.4565999999999999</v>
      </c>
      <c r="J162" s="826">
        <v>5.8773999999999997</v>
      </c>
      <c r="K162" s="828">
        <v>0.42079999999999984</v>
      </c>
      <c r="L162" s="34"/>
      <c r="M162" s="854">
        <v>39872</v>
      </c>
      <c r="N162" s="826">
        <v>3.8786999999999998</v>
      </c>
      <c r="O162" s="826">
        <v>4.5297000000000001</v>
      </c>
      <c r="P162" s="828">
        <v>0.65100000000000025</v>
      </c>
      <c r="Q162" s="834">
        <v>42063</v>
      </c>
      <c r="R162" s="835">
        <v>3.21</v>
      </c>
      <c r="S162" s="835">
        <v>3.26</v>
      </c>
      <c r="T162" s="809">
        <v>4.9999999999999822E-2</v>
      </c>
      <c r="U162" s="834">
        <v>44255</v>
      </c>
      <c r="V162" s="846">
        <v>0.75</v>
      </c>
      <c r="W162" s="846">
        <v>1.47</v>
      </c>
      <c r="X162" s="690">
        <v>0.72</v>
      </c>
      <c r="Z162" s="34"/>
    </row>
    <row r="163" spans="1:29" ht="12.75" hidden="1" customHeight="1">
      <c r="A163" s="34"/>
      <c r="B163" s="34"/>
      <c r="C163" s="34"/>
      <c r="D163" s="34"/>
      <c r="E163" s="34"/>
      <c r="F163" s="34"/>
      <c r="G163" s="34"/>
      <c r="H163" s="833">
        <v>37711</v>
      </c>
      <c r="I163" s="826">
        <v>5.4692999999999996</v>
      </c>
      <c r="J163" s="840">
        <v>5.9123999999999999</v>
      </c>
      <c r="K163" s="828">
        <v>0.44310000000000027</v>
      </c>
      <c r="L163" s="34"/>
      <c r="M163" s="825">
        <v>39903</v>
      </c>
      <c r="N163" s="826">
        <v>4.0202</v>
      </c>
      <c r="O163" s="840">
        <v>4.7744999999999997</v>
      </c>
      <c r="P163" s="828">
        <v>0.75429999999999975</v>
      </c>
      <c r="Q163" s="834">
        <v>42094</v>
      </c>
      <c r="R163" s="835">
        <v>3.21</v>
      </c>
      <c r="S163" s="815">
        <v>3.3</v>
      </c>
      <c r="T163" s="809">
        <v>8.9999999999999858E-2</v>
      </c>
      <c r="U163" s="834">
        <v>44256</v>
      </c>
      <c r="V163" s="846">
        <v>1.03</v>
      </c>
      <c r="W163" s="847">
        <v>1.76</v>
      </c>
      <c r="X163" s="690">
        <v>0.73</v>
      </c>
      <c r="Z163" s="34"/>
    </row>
    <row r="164" spans="1:29" ht="12.75" hidden="1" customHeight="1">
      <c r="A164" s="34"/>
      <c r="B164" s="34"/>
      <c r="C164" s="34"/>
      <c r="D164" s="34"/>
      <c r="E164" s="34"/>
      <c r="F164" s="34"/>
      <c r="G164" s="34"/>
      <c r="H164" s="833">
        <v>37741</v>
      </c>
      <c r="I164" s="826">
        <v>5.5194999999999999</v>
      </c>
      <c r="J164" s="826">
        <v>5.9789000000000003</v>
      </c>
      <c r="K164" s="828">
        <v>0.45940000000000047</v>
      </c>
      <c r="L164" s="34"/>
      <c r="M164" s="825">
        <v>39933</v>
      </c>
      <c r="N164" s="826">
        <v>4.3613</v>
      </c>
      <c r="O164" s="826">
        <v>5.2358000000000002</v>
      </c>
      <c r="P164" s="828">
        <v>0.87450000000000028</v>
      </c>
      <c r="Q164" s="834">
        <v>42124</v>
      </c>
      <c r="R164" s="835">
        <v>3.11</v>
      </c>
      <c r="S164" s="835">
        <v>3.25</v>
      </c>
      <c r="T164" s="809">
        <v>0.14000000000000012</v>
      </c>
      <c r="U164" s="834">
        <v>44316</v>
      </c>
      <c r="V164" s="846">
        <v>0.87</v>
      </c>
      <c r="W164" s="846">
        <v>1.67</v>
      </c>
      <c r="X164" s="690">
        <v>0.79999999999999993</v>
      </c>
      <c r="Z164" s="34"/>
    </row>
    <row r="165" spans="1:29" ht="12.75" hidden="1" customHeight="1">
      <c r="A165" s="43"/>
      <c r="B165" s="43"/>
      <c r="C165" s="43"/>
      <c r="D165" s="43"/>
      <c r="E165" s="43"/>
      <c r="F165" s="43"/>
      <c r="G165" s="43"/>
      <c r="H165" s="949">
        <v>37772</v>
      </c>
      <c r="I165" s="950">
        <v>5.1867999999999999</v>
      </c>
      <c r="J165" s="950">
        <v>5.5968</v>
      </c>
      <c r="K165" s="951">
        <v>0.41000000000000014</v>
      </c>
      <c r="L165" s="43"/>
      <c r="M165" s="952">
        <v>39964</v>
      </c>
      <c r="N165" s="950">
        <v>4.4781000000000004</v>
      </c>
      <c r="O165" s="950">
        <v>5.5860000000000003</v>
      </c>
      <c r="P165" s="951">
        <v>1.1078999999999999</v>
      </c>
      <c r="Q165" s="953">
        <v>42155</v>
      </c>
      <c r="R165" s="954">
        <v>3.2</v>
      </c>
      <c r="S165" s="954">
        <v>3.65</v>
      </c>
      <c r="T165" s="856">
        <v>0.44999999999999973</v>
      </c>
      <c r="U165" s="834">
        <v>44317</v>
      </c>
      <c r="V165" s="846">
        <v>1.04</v>
      </c>
      <c r="W165" s="846">
        <v>1.81</v>
      </c>
      <c r="X165" s="690">
        <v>0.77</v>
      </c>
      <c r="Z165" s="34"/>
    </row>
    <row r="166" spans="1:29" ht="12.75" hidden="1" customHeight="1">
      <c r="A166" s="34"/>
      <c r="B166" s="34"/>
      <c r="C166" s="34"/>
      <c r="D166" s="34"/>
      <c r="E166" s="34"/>
      <c r="F166" s="34"/>
      <c r="G166" s="34"/>
      <c r="H166" s="34"/>
      <c r="I166" s="34"/>
      <c r="J166" s="34"/>
      <c r="K166" s="34"/>
      <c r="L166" s="34"/>
      <c r="M166" s="34"/>
      <c r="N166" s="34"/>
      <c r="O166" s="34"/>
      <c r="P166" s="34"/>
      <c r="Q166" s="34"/>
      <c r="R166" s="34"/>
      <c r="S166" s="34"/>
      <c r="T166" s="34"/>
      <c r="U166" s="841">
        <v>44377</v>
      </c>
      <c r="V166" s="1426">
        <v>1.03</v>
      </c>
      <c r="W166" s="1427">
        <v>1.76</v>
      </c>
      <c r="X166" s="690">
        <v>0.73</v>
      </c>
      <c r="Z166" s="34"/>
    </row>
    <row r="167" spans="1:29">
      <c r="AC167" s="1121"/>
    </row>
    <row r="168" spans="1:29" ht="18">
      <c r="A168" s="1180"/>
      <c r="B168" s="1180"/>
      <c r="C168" s="1180"/>
      <c r="D168" s="1180"/>
      <c r="E168" s="1180"/>
      <c r="F168" s="1110"/>
      <c r="G168" s="1508">
        <v>0</v>
      </c>
      <c r="H168" s="1508"/>
      <c r="I168" s="1508"/>
      <c r="J168" s="1508"/>
      <c r="K168" s="1110"/>
      <c r="L168" s="1110"/>
      <c r="M168" s="1194"/>
      <c r="N168" s="1194"/>
      <c r="O168" s="1195"/>
      <c r="P168" s="1198"/>
      <c r="Q168" s="1591"/>
      <c r="R168" s="1591"/>
      <c r="S168" s="1591"/>
      <c r="T168" s="1199"/>
      <c r="U168" s="1199"/>
      <c r="V168" s="1199"/>
      <c r="W168" s="1594" t="s">
        <v>1437</v>
      </c>
      <c r="X168" s="1594"/>
      <c r="Y168" s="1594"/>
      <c r="Z168" s="1594"/>
      <c r="AA168" s="1595"/>
      <c r="AB168" s="1084">
        <v>6.4</v>
      </c>
    </row>
    <row r="169" spans="1:29" ht="15.75">
      <c r="A169" s="1458"/>
      <c r="B169" s="1204"/>
      <c r="C169" s="1459"/>
      <c r="D169" s="1459"/>
      <c r="E169" s="34"/>
      <c r="F169" s="34"/>
      <c r="G169" s="34">
        <v>1</v>
      </c>
      <c r="H169" s="34">
        <v>2</v>
      </c>
      <c r="I169" s="34">
        <v>3</v>
      </c>
      <c r="J169" s="34">
        <v>4</v>
      </c>
      <c r="K169" s="34">
        <v>5</v>
      </c>
      <c r="L169" s="34">
        <v>6</v>
      </c>
      <c r="M169" s="34">
        <v>7</v>
      </c>
      <c r="N169" s="34">
        <v>8</v>
      </c>
      <c r="O169" s="34">
        <v>9</v>
      </c>
      <c r="P169" s="34">
        <v>10</v>
      </c>
      <c r="Q169" s="1126"/>
      <c r="R169" s="1126">
        <v>0</v>
      </c>
      <c r="S169" s="1126">
        <v>1</v>
      </c>
      <c r="T169" s="1126">
        <v>2</v>
      </c>
      <c r="U169" s="1126">
        <v>3</v>
      </c>
      <c r="V169" s="1126">
        <v>4</v>
      </c>
      <c r="W169" s="1126">
        <v>5</v>
      </c>
      <c r="X169" s="1126">
        <v>6</v>
      </c>
      <c r="Y169" s="1126">
        <v>7</v>
      </c>
      <c r="Z169" s="1126">
        <v>8</v>
      </c>
      <c r="AA169" s="1126">
        <v>9</v>
      </c>
      <c r="AB169" s="1126">
        <v>10</v>
      </c>
    </row>
    <row r="170" spans="1:29">
      <c r="Q170" s="34"/>
      <c r="R170" s="980">
        <v>2011</v>
      </c>
      <c r="S170" s="980">
        <v>2012</v>
      </c>
      <c r="T170" s="980">
        <v>2013</v>
      </c>
      <c r="U170" s="980">
        <v>2014</v>
      </c>
      <c r="V170" s="980">
        <v>2015</v>
      </c>
      <c r="W170" s="980">
        <v>2016</v>
      </c>
      <c r="X170" s="980">
        <v>2017</v>
      </c>
      <c r="Y170" s="980">
        <v>2018</v>
      </c>
      <c r="Z170" s="980">
        <v>2019</v>
      </c>
      <c r="AA170" s="980">
        <v>2020</v>
      </c>
      <c r="AB170" s="980">
        <v>2021</v>
      </c>
    </row>
    <row r="171" spans="1:29" ht="15.75">
      <c r="A171" s="630" t="s">
        <v>1251</v>
      </c>
      <c r="B171" s="747"/>
      <c r="C171" s="748"/>
      <c r="D171" s="749"/>
      <c r="Q171" s="34"/>
      <c r="R171" s="1127"/>
      <c r="S171" s="1127"/>
      <c r="T171" s="1127"/>
      <c r="U171" s="1127"/>
      <c r="V171" s="1127"/>
      <c r="W171" s="1127"/>
      <c r="X171" s="1127"/>
      <c r="Y171" s="1127"/>
      <c r="Z171" s="1127"/>
      <c r="AA171" s="1127"/>
      <c r="AB171" s="1127"/>
    </row>
    <row r="172" spans="1:29">
      <c r="E172" s="3" t="s">
        <v>433</v>
      </c>
      <c r="Q172" s="1169">
        <v>44378</v>
      </c>
      <c r="R172" s="1451">
        <v>2.8549639999999998</v>
      </c>
      <c r="S172" s="1451">
        <v>2.9151349999999998</v>
      </c>
      <c r="T172" s="1254">
        <v>3.2273939999999999</v>
      </c>
      <c r="U172" s="1254">
        <v>3.415921</v>
      </c>
      <c r="V172" s="1254">
        <v>3.4799389999999999</v>
      </c>
      <c r="W172" s="1254">
        <v>4.0045539999999997</v>
      </c>
      <c r="X172" s="1254">
        <v>4.1868449999999999</v>
      </c>
      <c r="Y172" s="1254">
        <v>4.755439</v>
      </c>
      <c r="Z172" s="1254">
        <v>6.7942309999999999</v>
      </c>
      <c r="AA172" s="1254">
        <v>5.3806719999999997</v>
      </c>
      <c r="AB172" s="1254">
        <v>7.9527929999999998</v>
      </c>
    </row>
    <row r="173" spans="1:29">
      <c r="E173" s="3"/>
      <c r="Q173" s="34"/>
      <c r="S173" s="604"/>
      <c r="T173" s="604"/>
      <c r="U173" s="704"/>
      <c r="V173" s="604"/>
      <c r="W173" s="604"/>
      <c r="X173" s="604"/>
      <c r="Y173" s="604"/>
      <c r="Z173" s="604"/>
      <c r="AA173" s="604"/>
      <c r="AB173" s="807"/>
    </row>
    <row r="174" spans="1:29">
      <c r="E174" s="3"/>
      <c r="Q174" s="34"/>
      <c r="R174" s="980">
        <v>2000</v>
      </c>
      <c r="S174" s="980">
        <v>2001</v>
      </c>
      <c r="T174" s="980">
        <v>2002</v>
      </c>
      <c r="U174" s="980">
        <v>2003</v>
      </c>
      <c r="V174" s="980">
        <v>2004</v>
      </c>
      <c r="W174" s="980">
        <v>2005</v>
      </c>
      <c r="X174" s="980">
        <v>2006</v>
      </c>
      <c r="Y174" s="980">
        <v>2007</v>
      </c>
      <c r="Z174" s="980">
        <v>2008</v>
      </c>
      <c r="AA174" s="980">
        <v>2009</v>
      </c>
      <c r="AB174" s="980">
        <v>2010</v>
      </c>
    </row>
    <row r="175" spans="1:29">
      <c r="E175" s="3" t="s">
        <v>433</v>
      </c>
      <c r="Q175" s="1169">
        <v>44378</v>
      </c>
      <c r="R175" s="1254">
        <v>1.2528250000000001</v>
      </c>
      <c r="S175" s="1451">
        <v>1.5379830000000001</v>
      </c>
      <c r="T175" s="1451">
        <v>1.776394</v>
      </c>
      <c r="U175" s="1254">
        <v>2.2672400000000001</v>
      </c>
      <c r="V175" s="1254">
        <v>2.8141820000000002</v>
      </c>
      <c r="W175" s="1254">
        <v>3.5995349999999999</v>
      </c>
      <c r="X175" s="1254">
        <v>3.300354</v>
      </c>
      <c r="Y175" s="1254">
        <v>4.3241180000000004</v>
      </c>
      <c r="Z175" s="1254">
        <v>3.9267650000000001</v>
      </c>
      <c r="AA175" s="1254">
        <v>3.0040840000000002</v>
      </c>
      <c r="AB175" s="1254">
        <v>2.842997</v>
      </c>
    </row>
    <row r="176" spans="1:29">
      <c r="A176" s="4"/>
      <c r="B176" s="4"/>
      <c r="C176" s="4"/>
      <c r="D176" s="4"/>
      <c r="E176" s="32"/>
      <c r="F176" s="4"/>
      <c r="G176" s="4"/>
      <c r="H176" s="4"/>
      <c r="I176" s="4"/>
      <c r="J176" s="4"/>
      <c r="K176" s="4"/>
      <c r="L176" s="4"/>
      <c r="M176" s="4"/>
      <c r="N176" s="4"/>
      <c r="O176" s="4"/>
      <c r="P176" s="4"/>
      <c r="Q176" s="1463"/>
      <c r="R176" s="1464"/>
      <c r="S176" s="1465"/>
      <c r="T176" s="1465"/>
      <c r="U176" s="1464"/>
      <c r="V176" s="1464"/>
      <c r="W176" s="1464"/>
      <c r="X176" s="1464"/>
      <c r="Y176" s="1464"/>
      <c r="Z176" s="1464"/>
      <c r="AA176" s="1464"/>
      <c r="AB176" s="1464"/>
    </row>
    <row r="177" spans="1:28">
      <c r="A177" s="1473" t="s">
        <v>1487</v>
      </c>
      <c r="Q177" s="43"/>
      <c r="R177" s="4"/>
      <c r="S177" s="4"/>
      <c r="T177" s="4"/>
      <c r="U177" s="4"/>
      <c r="V177" s="4"/>
      <c r="W177" s="4"/>
      <c r="X177" s="4"/>
      <c r="Y177" s="43"/>
      <c r="Z177" s="43"/>
      <c r="AA177" s="43"/>
      <c r="AB177" s="43"/>
    </row>
    <row r="178" spans="1:28" ht="12.75" hidden="1" customHeight="1">
      <c r="Q178" s="34"/>
      <c r="U178" s="988"/>
      <c r="V178" s="988"/>
      <c r="W178" s="988"/>
      <c r="X178" s="988"/>
    </row>
    <row r="179" spans="1:28" ht="12.75" hidden="1" customHeight="1">
      <c r="Q179" s="13" t="s">
        <v>1471</v>
      </c>
      <c r="R179" s="13"/>
      <c r="S179" s="13" t="s">
        <v>1472</v>
      </c>
      <c r="T179" s="13"/>
      <c r="U179" s="13" t="s">
        <v>1471</v>
      </c>
      <c r="V179" s="13"/>
      <c r="W179" s="13" t="s">
        <v>1472</v>
      </c>
      <c r="X179" s="34"/>
      <c r="AB179" s="988"/>
    </row>
    <row r="180" spans="1:28" ht="12.75" hidden="1" customHeight="1">
      <c r="Q180" s="82">
        <v>36557</v>
      </c>
      <c r="S180" s="323">
        <v>1.3276209999999999</v>
      </c>
      <c r="U180" s="186">
        <v>40575</v>
      </c>
      <c r="W180" s="323">
        <v>3.2222189999999999</v>
      </c>
      <c r="X180" s="34"/>
      <c r="AB180" s="988"/>
    </row>
    <row r="181" spans="1:28" ht="12.75" hidden="1" customHeight="1">
      <c r="Q181" s="82">
        <v>36586</v>
      </c>
      <c r="S181" s="323">
        <v>1.2481500000000001</v>
      </c>
      <c r="U181" s="186">
        <v>40603</v>
      </c>
      <c r="W181" s="323">
        <v>3.1067670000000001</v>
      </c>
      <c r="X181" s="34"/>
      <c r="AB181" s="988"/>
    </row>
    <row r="182" spans="1:28" ht="12.75" hidden="1" customHeight="1">
      <c r="Q182" s="82">
        <v>36617</v>
      </c>
      <c r="S182" s="323">
        <v>1.103234</v>
      </c>
      <c r="U182" s="186">
        <v>40634</v>
      </c>
      <c r="W182" s="323">
        <v>3.2345869999999999</v>
      </c>
      <c r="X182" s="34"/>
      <c r="AB182" s="988"/>
    </row>
    <row r="183" spans="1:28" ht="12.75" hidden="1" customHeight="1">
      <c r="Q183" s="82">
        <v>36647</v>
      </c>
      <c r="S183" s="323">
        <v>1.2855479999999999</v>
      </c>
      <c r="U183" s="186">
        <v>40664</v>
      </c>
      <c r="W183" s="323">
        <v>3.3133059999999999</v>
      </c>
      <c r="X183" s="34"/>
    </row>
    <row r="184" spans="1:28" ht="12.75" hidden="1" customHeight="1">
      <c r="Q184" s="82">
        <v>36678</v>
      </c>
      <c r="S184" s="323">
        <v>1.332295</v>
      </c>
      <c r="U184" s="186">
        <v>40695</v>
      </c>
      <c r="W184" s="323">
        <v>2.959886</v>
      </c>
      <c r="X184" s="34"/>
    </row>
    <row r="185" spans="1:28" ht="12.75" hidden="1" customHeight="1">
      <c r="Q185" s="82">
        <v>36708</v>
      </c>
      <c r="S185" s="554">
        <v>1.2528250000000001</v>
      </c>
      <c r="U185" s="186">
        <v>40725</v>
      </c>
      <c r="W185" s="554">
        <v>2.8549639999999998</v>
      </c>
      <c r="X185" s="34"/>
    </row>
    <row r="186" spans="1:28" ht="12.75" hidden="1" customHeight="1">
      <c r="Q186" s="82">
        <v>36739</v>
      </c>
      <c r="S186" s="323">
        <v>1.206078</v>
      </c>
      <c r="U186" s="186">
        <v>40756</v>
      </c>
      <c r="W186" s="323">
        <v>2.9819749999999998</v>
      </c>
      <c r="X186" s="34"/>
    </row>
    <row r="187" spans="1:28" ht="12.75" hidden="1" customHeight="1">
      <c r="Q187" s="82">
        <v>36770</v>
      </c>
      <c r="S187" s="323">
        <v>1.224777</v>
      </c>
      <c r="U187" s="186">
        <v>40787</v>
      </c>
      <c r="W187" s="323">
        <v>3.0771510000000002</v>
      </c>
      <c r="X187" s="34"/>
    </row>
    <row r="188" spans="1:28" ht="12.75" hidden="1" customHeight="1">
      <c r="Q188" s="82">
        <v>36800</v>
      </c>
      <c r="S188" s="323">
        <v>1.2995730000000001</v>
      </c>
      <c r="U188" s="186">
        <v>40817</v>
      </c>
      <c r="W188" s="323">
        <v>3.1745719999999999</v>
      </c>
      <c r="X188" s="34"/>
    </row>
    <row r="189" spans="1:28" ht="12.75" hidden="1" customHeight="1">
      <c r="Q189" s="82">
        <v>36831</v>
      </c>
      <c r="S189" s="323">
        <v>1.332295</v>
      </c>
      <c r="U189" s="186">
        <v>40848</v>
      </c>
      <c r="W189" s="323">
        <v>3.0158429999999998</v>
      </c>
      <c r="X189" s="34"/>
    </row>
    <row r="190" spans="1:28" ht="12.75" hidden="1" customHeight="1">
      <c r="Q190" s="82">
        <v>36861</v>
      </c>
      <c r="S190" s="323">
        <v>1.238801</v>
      </c>
      <c r="U190" s="186">
        <v>40878</v>
      </c>
      <c r="W190" s="323">
        <v>2.9874990000000001</v>
      </c>
      <c r="X190" s="34"/>
    </row>
    <row r="191" spans="1:28" ht="12.75" hidden="1" customHeight="1">
      <c r="Q191" s="82">
        <v>36892</v>
      </c>
      <c r="S191" s="323">
        <v>1.3276209999999999</v>
      </c>
      <c r="U191" s="186">
        <v>40909</v>
      </c>
      <c r="W191" s="323">
        <v>2.709724</v>
      </c>
      <c r="X191" s="34"/>
    </row>
    <row r="192" spans="1:28" ht="12.75" hidden="1" customHeight="1">
      <c r="Q192" s="82">
        <v>36923</v>
      </c>
      <c r="S192" s="323">
        <v>1.3276209999999999</v>
      </c>
      <c r="U192" s="186">
        <v>40940</v>
      </c>
      <c r="W192" s="323">
        <v>2.7380680000000002</v>
      </c>
      <c r="X192" s="34"/>
    </row>
    <row r="193" spans="17:24" ht="12.75" hidden="1" customHeight="1">
      <c r="Q193" s="82">
        <v>36951</v>
      </c>
      <c r="S193" s="323">
        <v>1.350994</v>
      </c>
      <c r="U193" s="186">
        <v>40969</v>
      </c>
      <c r="W193" s="323">
        <v>2.7409059999999998</v>
      </c>
      <c r="X193" s="34"/>
    </row>
    <row r="194" spans="17:24" ht="12.75" hidden="1" customHeight="1">
      <c r="Q194" s="82">
        <v>36982</v>
      </c>
      <c r="S194" s="323">
        <v>1.430464</v>
      </c>
      <c r="U194" s="186">
        <v>41000</v>
      </c>
      <c r="W194" s="323">
        <v>2.8220369999999999</v>
      </c>
      <c r="X194" s="34"/>
    </row>
    <row r="195" spans="17:24" ht="12.75" hidden="1" customHeight="1">
      <c r="Q195" s="82">
        <v>37012</v>
      </c>
      <c r="S195" s="323">
        <v>1.3182720000000001</v>
      </c>
      <c r="U195" s="186">
        <v>41030</v>
      </c>
      <c r="W195" s="323">
        <v>2.839493</v>
      </c>
      <c r="X195" s="34"/>
    </row>
    <row r="196" spans="17:24" ht="12.75" hidden="1" customHeight="1">
      <c r="Q196" s="82">
        <v>37043</v>
      </c>
      <c r="S196" s="323">
        <v>1.4024160000000001</v>
      </c>
      <c r="U196" s="186">
        <v>41061</v>
      </c>
      <c r="W196" s="323">
        <v>2.8045800000000001</v>
      </c>
      <c r="X196" s="34"/>
    </row>
    <row r="197" spans="17:24" ht="12.75" hidden="1" customHeight="1">
      <c r="Q197" s="82">
        <v>37073</v>
      </c>
      <c r="S197" s="554">
        <v>1.5379830000000001</v>
      </c>
      <c r="U197" s="186">
        <v>41091</v>
      </c>
      <c r="W197" s="554">
        <v>2.9151349999999998</v>
      </c>
      <c r="X197" s="34"/>
    </row>
    <row r="198" spans="17:24" ht="12.75" hidden="1" customHeight="1">
      <c r="Q198" s="82">
        <v>37104</v>
      </c>
      <c r="S198" s="323">
        <v>1.5940799999999999</v>
      </c>
      <c r="U198" s="186">
        <v>41122</v>
      </c>
      <c r="W198" s="323">
        <v>2.909373</v>
      </c>
      <c r="X198" s="34"/>
    </row>
    <row r="199" spans="17:24" ht="12.75" hidden="1" customHeight="1">
      <c r="Q199" s="82">
        <v>37135</v>
      </c>
      <c r="S199" s="323">
        <v>1.589405</v>
      </c>
      <c r="U199" s="186">
        <v>41153</v>
      </c>
      <c r="W199" s="323">
        <v>3.1617890000000002</v>
      </c>
      <c r="X199" s="34"/>
    </row>
    <row r="200" spans="17:24" ht="12.75" hidden="1" customHeight="1">
      <c r="Q200" s="82">
        <v>37165</v>
      </c>
      <c r="S200" s="323">
        <v>1.9400090000000001</v>
      </c>
      <c r="U200" s="186">
        <v>41183</v>
      </c>
      <c r="W200" s="323">
        <v>3.3174839999999999</v>
      </c>
      <c r="X200" s="34"/>
    </row>
    <row r="201" spans="17:24" ht="12.75" hidden="1" customHeight="1">
      <c r="Q201" s="82">
        <v>37196</v>
      </c>
      <c r="S201" s="323">
        <v>1.8885879999999999</v>
      </c>
      <c r="U201" s="186">
        <v>41214</v>
      </c>
      <c r="W201" s="323">
        <v>3.1857419999999999</v>
      </c>
      <c r="X201" s="34"/>
    </row>
    <row r="202" spans="17:24" ht="12.75" hidden="1" customHeight="1">
      <c r="Q202" s="82">
        <v>37226</v>
      </c>
      <c r="S202" s="323">
        <v>1.8605389999999999</v>
      </c>
      <c r="U202" s="186">
        <v>41244</v>
      </c>
      <c r="W202" s="323">
        <v>3.1138840000000001</v>
      </c>
      <c r="X202" s="34"/>
    </row>
    <row r="203" spans="17:24" ht="12.75" hidden="1" customHeight="1">
      <c r="Q203" s="82">
        <v>37257</v>
      </c>
      <c r="S203" s="323">
        <v>1.7296469999999999</v>
      </c>
      <c r="U203" s="186">
        <v>41275</v>
      </c>
      <c r="W203" s="323">
        <v>3.1258590000000002</v>
      </c>
      <c r="X203" s="34"/>
    </row>
    <row r="204" spans="17:24" ht="12.75" hidden="1" customHeight="1">
      <c r="Q204" s="82">
        <v>37288</v>
      </c>
      <c r="S204" s="323">
        <v>1.869888</v>
      </c>
      <c r="U204" s="186">
        <v>41306</v>
      </c>
      <c r="W204" s="323">
        <v>3.2276590000000001</v>
      </c>
      <c r="X204" s="34"/>
    </row>
    <row r="205" spans="17:24" ht="12.75" hidden="1" customHeight="1">
      <c r="Q205" s="82">
        <v>37316</v>
      </c>
      <c r="S205" s="323">
        <v>1.8184670000000001</v>
      </c>
      <c r="U205" s="186">
        <v>41334</v>
      </c>
      <c r="W205" s="323">
        <v>3.4132950000000002</v>
      </c>
      <c r="X205" s="34"/>
    </row>
    <row r="206" spans="17:24" ht="12.75" hidden="1" customHeight="1">
      <c r="Q206" s="82">
        <v>37347</v>
      </c>
      <c r="S206" s="323">
        <v>1.879238</v>
      </c>
      <c r="U206" s="186">
        <v>41365</v>
      </c>
      <c r="W206" s="323">
        <v>3.1733030000000002</v>
      </c>
      <c r="X206" s="34"/>
    </row>
    <row r="207" spans="17:24" ht="12.75" hidden="1" customHeight="1">
      <c r="Q207" s="82">
        <v>37377</v>
      </c>
      <c r="S207" s="323">
        <v>1.8652139999999999</v>
      </c>
      <c r="U207" s="186">
        <v>41395</v>
      </c>
      <c r="W207" s="323">
        <v>3.1011820000000001</v>
      </c>
      <c r="X207" s="34"/>
    </row>
    <row r="208" spans="17:24" ht="12.75" hidden="1" customHeight="1">
      <c r="Q208" s="82">
        <v>37408</v>
      </c>
      <c r="S208" s="323">
        <v>1.8652139999999999</v>
      </c>
      <c r="U208" s="186">
        <v>41426</v>
      </c>
      <c r="W208" s="323">
        <v>3.0771419999999998</v>
      </c>
      <c r="X208" s="34"/>
    </row>
    <row r="209" spans="17:24" ht="12.75" hidden="1" customHeight="1">
      <c r="Q209" s="82">
        <v>37438</v>
      </c>
      <c r="S209" s="554">
        <v>1.776394</v>
      </c>
      <c r="U209" s="186">
        <v>41456</v>
      </c>
      <c r="W209" s="554">
        <v>3.2273939999999999</v>
      </c>
      <c r="X209" s="34"/>
    </row>
    <row r="210" spans="17:24" ht="12.75" hidden="1" customHeight="1">
      <c r="Q210" s="82">
        <v>37469</v>
      </c>
      <c r="S210" s="323">
        <v>1.8324910000000001</v>
      </c>
      <c r="U210" s="186">
        <v>41487</v>
      </c>
      <c r="W210" s="323">
        <v>3.185324</v>
      </c>
      <c r="X210" s="34"/>
    </row>
    <row r="211" spans="17:24" ht="12.75" hidden="1" customHeight="1">
      <c r="Q211" s="82">
        <v>37500</v>
      </c>
      <c r="S211" s="323">
        <v>1.767045</v>
      </c>
      <c r="U211" s="186">
        <v>41518</v>
      </c>
      <c r="W211" s="323">
        <v>3.2514340000000002</v>
      </c>
      <c r="X211" s="34"/>
    </row>
    <row r="212" spans="17:24" ht="12.75" hidden="1" customHeight="1">
      <c r="Q212" s="82">
        <v>37530</v>
      </c>
      <c r="S212" s="323">
        <v>1.7904180000000001</v>
      </c>
      <c r="U212" s="186">
        <v>41548</v>
      </c>
      <c r="W212" s="323">
        <v>3.170051</v>
      </c>
      <c r="X212" s="34"/>
    </row>
    <row r="213" spans="17:24" ht="12.75" hidden="1" customHeight="1">
      <c r="Q213" s="82">
        <v>37561</v>
      </c>
      <c r="S213" s="323">
        <v>1.7857430000000001</v>
      </c>
      <c r="U213" s="186">
        <v>41579</v>
      </c>
      <c r="W213" s="323">
        <v>2.8983319999999999</v>
      </c>
      <c r="X213" s="34"/>
    </row>
    <row r="214" spans="17:24" ht="12.75" hidden="1" customHeight="1">
      <c r="Q214" s="82">
        <v>37591</v>
      </c>
      <c r="S214" s="323">
        <v>1.8558650000000001</v>
      </c>
      <c r="U214" s="186">
        <v>41609</v>
      </c>
      <c r="W214" s="323">
        <v>3.0975920000000001</v>
      </c>
      <c r="X214" s="34"/>
    </row>
    <row r="215" spans="17:24" ht="12.75" hidden="1" customHeight="1">
      <c r="Q215" s="82">
        <v>37622</v>
      </c>
      <c r="S215" s="323">
        <v>1.9867570000000001</v>
      </c>
      <c r="U215" s="186">
        <v>41640</v>
      </c>
      <c r="W215" s="323">
        <v>3.1157059999999999</v>
      </c>
      <c r="X215" s="34"/>
    </row>
    <row r="216" spans="17:24" ht="12.75" hidden="1" customHeight="1">
      <c r="Q216" s="82">
        <v>37653</v>
      </c>
      <c r="S216" s="323">
        <v>2.0568789999999999</v>
      </c>
      <c r="U216" s="186">
        <v>41671</v>
      </c>
      <c r="W216" s="323">
        <v>3.230432</v>
      </c>
      <c r="X216" s="34"/>
    </row>
    <row r="217" spans="17:24" ht="12.75" hidden="1" customHeight="1">
      <c r="Q217" s="82">
        <v>37681</v>
      </c>
      <c r="S217" s="323">
        <v>1.9727330000000001</v>
      </c>
      <c r="U217" s="186">
        <v>41699</v>
      </c>
      <c r="W217" s="323">
        <v>3.2123179999999998</v>
      </c>
      <c r="X217" s="34"/>
    </row>
    <row r="218" spans="17:24" ht="12.75" hidden="1" customHeight="1">
      <c r="Q218" s="82">
        <v>37712</v>
      </c>
      <c r="S218" s="323">
        <v>2.0335040000000002</v>
      </c>
      <c r="U218" s="186">
        <v>41730</v>
      </c>
      <c r="W218" s="323">
        <v>3.50841</v>
      </c>
      <c r="X218" s="34"/>
    </row>
    <row r="219" spans="17:24" ht="12.75" hidden="1" customHeight="1">
      <c r="Q219" s="82">
        <v>37742</v>
      </c>
      <c r="S219" s="323">
        <v>2.173746</v>
      </c>
      <c r="U219" s="186">
        <v>41760</v>
      </c>
      <c r="W219" s="323">
        <v>3.3604280000000002</v>
      </c>
      <c r="X219" s="34"/>
    </row>
    <row r="220" spans="17:24" ht="12.75" hidden="1" customHeight="1">
      <c r="Q220" s="82">
        <v>37773</v>
      </c>
      <c r="S220" s="323">
        <v>2.360735</v>
      </c>
      <c r="U220" s="186">
        <v>41791</v>
      </c>
      <c r="W220" s="323">
        <v>3.274105</v>
      </c>
      <c r="X220" s="34"/>
    </row>
    <row r="221" spans="17:24" ht="12.75" hidden="1" customHeight="1">
      <c r="Q221" s="82">
        <v>37803</v>
      </c>
      <c r="S221" s="554">
        <v>2.2672400000000001</v>
      </c>
      <c r="U221" s="186">
        <v>41821</v>
      </c>
      <c r="W221" s="554">
        <v>3.415921</v>
      </c>
      <c r="X221" s="34"/>
    </row>
    <row r="222" spans="17:24" ht="12.75" hidden="1" customHeight="1">
      <c r="Q222" s="82">
        <v>37834</v>
      </c>
      <c r="S222" s="323">
        <v>2.313987</v>
      </c>
      <c r="U222" s="186">
        <v>41852</v>
      </c>
      <c r="W222" s="323">
        <v>3.4220869999999999</v>
      </c>
      <c r="X222" s="34"/>
    </row>
    <row r="223" spans="17:24" ht="12.75" hidden="1" customHeight="1">
      <c r="Q223" s="82">
        <v>37865</v>
      </c>
      <c r="S223" s="323">
        <v>2.337361</v>
      </c>
      <c r="U223" s="186">
        <v>41883</v>
      </c>
      <c r="W223" s="323">
        <v>3.6872220000000002</v>
      </c>
      <c r="X223" s="34"/>
    </row>
    <row r="224" spans="17:24" ht="12.75" hidden="1" customHeight="1">
      <c r="Q224" s="82">
        <v>37895</v>
      </c>
      <c r="S224" s="323">
        <v>2.360735</v>
      </c>
      <c r="U224" s="186">
        <v>41913</v>
      </c>
      <c r="W224" s="323">
        <v>3.9290620000000001</v>
      </c>
      <c r="X224" s="34"/>
    </row>
    <row r="225" spans="17:24" ht="12.75" hidden="1" customHeight="1">
      <c r="Q225" s="82">
        <v>37926</v>
      </c>
      <c r="S225" s="323">
        <v>2.5430489999999999</v>
      </c>
      <c r="U225" s="186">
        <v>41944</v>
      </c>
      <c r="W225" s="323">
        <v>3.884703</v>
      </c>
      <c r="X225" s="34"/>
    </row>
    <row r="226" spans="17:24" ht="12.75" hidden="1" customHeight="1">
      <c r="Q226" s="82">
        <v>37956</v>
      </c>
      <c r="S226" s="323">
        <v>2.5150000000000001</v>
      </c>
      <c r="U226" s="186">
        <v>41974</v>
      </c>
      <c r="W226" s="323">
        <v>4.0431319999999999</v>
      </c>
      <c r="X226" s="34"/>
    </row>
    <row r="227" spans="17:24" ht="12.75" hidden="1" customHeight="1">
      <c r="Q227" s="82">
        <v>37987</v>
      </c>
      <c r="S227" s="323">
        <v>2.5617480000000001</v>
      </c>
      <c r="U227" s="186">
        <v>42005</v>
      </c>
      <c r="W227" s="323">
        <v>4.4803980000000001</v>
      </c>
      <c r="X227" s="34"/>
    </row>
    <row r="228" spans="17:24" ht="12.75" hidden="1" customHeight="1">
      <c r="Q228" s="82">
        <v>38018</v>
      </c>
      <c r="S228" s="323">
        <v>2.3560599999999998</v>
      </c>
      <c r="U228" s="186">
        <v>42036</v>
      </c>
      <c r="W228" s="323">
        <v>3.916388</v>
      </c>
      <c r="X228" s="34"/>
    </row>
    <row r="229" spans="17:24" ht="12.75" hidden="1" customHeight="1">
      <c r="Q229" s="82">
        <v>38047</v>
      </c>
      <c r="S229" s="323">
        <v>2.6131700000000002</v>
      </c>
      <c r="U229" s="186">
        <v>42064</v>
      </c>
      <c r="W229" s="323">
        <v>3.789644</v>
      </c>
      <c r="X229" s="34"/>
    </row>
    <row r="230" spans="17:24" ht="12.75" hidden="1" customHeight="1">
      <c r="Q230" s="82">
        <v>38078</v>
      </c>
      <c r="S230" s="323">
        <v>2.711338</v>
      </c>
      <c r="U230" s="186">
        <v>42095</v>
      </c>
      <c r="W230" s="323">
        <v>3.664758</v>
      </c>
      <c r="X230" s="34"/>
    </row>
    <row r="231" spans="17:24" ht="12.75" hidden="1" customHeight="1">
      <c r="Q231" s="82">
        <v>38108</v>
      </c>
      <c r="S231" s="323">
        <v>2.6271930000000001</v>
      </c>
      <c r="U231" s="186">
        <v>42125</v>
      </c>
      <c r="W231" s="323">
        <v>3.9680049999999998</v>
      </c>
      <c r="X231" s="34"/>
    </row>
    <row r="232" spans="17:24" ht="12.75" hidden="1" customHeight="1">
      <c r="Q232" s="82">
        <v>38139</v>
      </c>
      <c r="S232" s="323">
        <v>2.7393869999999998</v>
      </c>
      <c r="U232" s="186">
        <v>42156</v>
      </c>
      <c r="W232" s="323">
        <v>3.232472</v>
      </c>
      <c r="X232" s="34"/>
    </row>
    <row r="233" spans="17:24" ht="12.75" hidden="1" customHeight="1">
      <c r="Q233" s="82">
        <v>38169</v>
      </c>
      <c r="S233" s="554">
        <v>2.8141820000000002</v>
      </c>
      <c r="U233" s="186">
        <v>42186</v>
      </c>
      <c r="W233" s="554">
        <v>3.4799389999999999</v>
      </c>
      <c r="X233" s="34"/>
    </row>
    <row r="234" spans="17:24" ht="12.75" hidden="1" customHeight="1">
      <c r="Q234" s="82">
        <v>38200</v>
      </c>
      <c r="S234" s="323">
        <v>2.711338</v>
      </c>
      <c r="U234" s="186">
        <v>42217</v>
      </c>
      <c r="W234" s="323">
        <v>3.648663</v>
      </c>
      <c r="X234" s="34"/>
    </row>
    <row r="235" spans="17:24" ht="12.75" hidden="1" customHeight="1">
      <c r="Q235" s="82">
        <v>38231</v>
      </c>
      <c r="S235" s="323">
        <v>2.8235320000000002</v>
      </c>
      <c r="U235" s="186">
        <v>42248</v>
      </c>
      <c r="W235" s="323">
        <v>3.58229</v>
      </c>
      <c r="X235" s="34"/>
    </row>
    <row r="236" spans="17:24" ht="12.75" hidden="1" customHeight="1">
      <c r="Q236" s="82">
        <v>38261</v>
      </c>
      <c r="S236" s="323">
        <v>2.7908080000000002</v>
      </c>
      <c r="U236" s="186">
        <v>42278</v>
      </c>
      <c r="W236" s="323">
        <v>3.7559770000000001</v>
      </c>
      <c r="X236" s="34"/>
    </row>
    <row r="237" spans="17:24" ht="12.75" hidden="1" customHeight="1">
      <c r="Q237" s="82">
        <v>38292</v>
      </c>
      <c r="S237" s="323">
        <v>2.9544250000000001</v>
      </c>
      <c r="U237" s="186">
        <v>42309</v>
      </c>
      <c r="W237" s="323">
        <v>3.6040000000000001</v>
      </c>
      <c r="X237" s="34"/>
    </row>
    <row r="238" spans="17:24" ht="12.75" hidden="1" customHeight="1">
      <c r="Q238" s="82">
        <v>38322</v>
      </c>
      <c r="S238" s="323">
        <v>2.991822</v>
      </c>
      <c r="U238" s="186">
        <v>42339</v>
      </c>
      <c r="W238" s="323">
        <v>3.4303140000000001</v>
      </c>
      <c r="X238" s="34"/>
    </row>
    <row r="239" spans="17:24" ht="12.75" hidden="1" customHeight="1">
      <c r="Q239" s="82">
        <v>38353</v>
      </c>
      <c r="S239" s="323">
        <v>3.0058449999999999</v>
      </c>
      <c r="U239" s="186">
        <v>42370</v>
      </c>
      <c r="W239" s="323">
        <v>3.3289970000000002</v>
      </c>
      <c r="X239" s="34"/>
    </row>
    <row r="240" spans="17:24" ht="12.75" hidden="1" customHeight="1">
      <c r="Q240" s="82">
        <v>38384</v>
      </c>
      <c r="S240" s="323">
        <v>3.3190520000000001</v>
      </c>
      <c r="U240" s="186">
        <v>42401</v>
      </c>
      <c r="W240" s="323">
        <v>3.2421530000000001</v>
      </c>
      <c r="X240" s="34"/>
    </row>
    <row r="241" spans="17:24" ht="12.75" hidden="1" customHeight="1">
      <c r="Q241" s="82">
        <v>38412</v>
      </c>
      <c r="S241" s="323">
        <v>3.0385689999999999</v>
      </c>
      <c r="U241" s="186">
        <v>42430</v>
      </c>
      <c r="W241" s="323">
        <v>3.7079200000000001</v>
      </c>
      <c r="X241" s="34"/>
    </row>
    <row r="242" spans="17:24" ht="12.75" hidden="1" customHeight="1">
      <c r="Q242" s="82">
        <v>38443</v>
      </c>
      <c r="S242" s="323">
        <v>3.3284020000000001</v>
      </c>
      <c r="U242" s="186">
        <v>42461</v>
      </c>
      <c r="W242" s="323">
        <v>3.7672469999999998</v>
      </c>
      <c r="X242" s="34"/>
    </row>
    <row r="243" spans="17:24" ht="12.75" hidden="1" customHeight="1">
      <c r="Q243" s="82">
        <v>38473</v>
      </c>
      <c r="S243" s="323">
        <v>3.2956780000000001</v>
      </c>
      <c r="U243" s="186">
        <v>42491</v>
      </c>
      <c r="W243" s="323">
        <v>3.9971380000000001</v>
      </c>
      <c r="X243" s="34"/>
    </row>
    <row r="244" spans="17:24" ht="12.75" hidden="1" customHeight="1">
      <c r="Q244" s="82">
        <v>38504</v>
      </c>
      <c r="S244" s="323">
        <v>3.5995349999999999</v>
      </c>
      <c r="U244" s="186">
        <v>42522</v>
      </c>
      <c r="W244" s="323">
        <v>3.8414060000000001</v>
      </c>
      <c r="X244" s="34"/>
    </row>
    <row r="245" spans="17:24" ht="12.75" hidden="1" customHeight="1">
      <c r="Q245" s="82">
        <v>38534</v>
      </c>
      <c r="S245" s="554">
        <v>3.5995349999999999</v>
      </c>
      <c r="U245" s="186">
        <v>42552</v>
      </c>
      <c r="W245" s="554">
        <v>4.0045539999999997</v>
      </c>
      <c r="X245" s="34"/>
    </row>
    <row r="246" spans="17:24" ht="12.75" hidden="1" customHeight="1">
      <c r="Q246" s="82">
        <v>38565</v>
      </c>
      <c r="S246" s="323">
        <v>3.4639690000000001</v>
      </c>
      <c r="U246" s="186">
        <v>42583</v>
      </c>
      <c r="W246" s="323">
        <v>3.8562370000000001</v>
      </c>
      <c r="X246" s="34"/>
    </row>
    <row r="247" spans="17:24" ht="12.75" hidden="1" customHeight="1">
      <c r="Q247" s="82">
        <v>38596</v>
      </c>
      <c r="S247" s="323">
        <v>3.5527880000000001</v>
      </c>
      <c r="U247" s="186">
        <v>42614</v>
      </c>
      <c r="W247" s="323">
        <v>3.737584</v>
      </c>
      <c r="X247" s="34"/>
    </row>
    <row r="248" spans="17:24" ht="12.75" hidden="1" customHeight="1">
      <c r="Q248" s="82">
        <v>38626</v>
      </c>
      <c r="S248" s="323">
        <v>3.2255569999999998</v>
      </c>
      <c r="U248" s="186">
        <v>42644</v>
      </c>
      <c r="W248" s="323">
        <v>3.62757</v>
      </c>
      <c r="X248" s="34"/>
    </row>
    <row r="249" spans="17:24" ht="12.75" hidden="1" customHeight="1">
      <c r="Q249" s="82">
        <v>38657</v>
      </c>
      <c r="S249" s="323">
        <v>3.0759660000000002</v>
      </c>
      <c r="U249" s="186">
        <v>42675</v>
      </c>
      <c r="W249" s="323">
        <v>3.589385</v>
      </c>
      <c r="X249" s="34"/>
    </row>
    <row r="250" spans="17:24" ht="12.75" hidden="1" customHeight="1">
      <c r="Q250" s="82">
        <v>38687</v>
      </c>
      <c r="S250" s="323">
        <v>3.0993409999999999</v>
      </c>
      <c r="U250" s="186">
        <v>42705</v>
      </c>
      <c r="W250" s="323">
        <v>3.558837</v>
      </c>
      <c r="X250" s="34"/>
    </row>
    <row r="251" spans="17:24" ht="12.75" hidden="1" customHeight="1">
      <c r="Q251" s="82">
        <v>38718</v>
      </c>
      <c r="S251" s="323">
        <v>3.0479180000000001</v>
      </c>
      <c r="U251" s="186">
        <v>42736</v>
      </c>
      <c r="W251" s="323">
        <v>3.6428430000000001</v>
      </c>
      <c r="X251" s="34"/>
    </row>
    <row r="252" spans="17:24" ht="12.75" hidden="1" customHeight="1">
      <c r="Q252" s="82">
        <v>38749</v>
      </c>
      <c r="S252" s="323">
        <v>3.3611230000000001</v>
      </c>
      <c r="U252" s="186">
        <v>42767</v>
      </c>
      <c r="W252" s="323">
        <v>3.7344879999999998</v>
      </c>
      <c r="X252" s="34"/>
    </row>
    <row r="253" spans="17:24" ht="12.75" hidden="1" customHeight="1">
      <c r="Q253" s="82">
        <v>38777</v>
      </c>
      <c r="S253" s="323">
        <v>3.627583</v>
      </c>
      <c r="U253" s="186">
        <v>42795</v>
      </c>
      <c r="W253" s="323">
        <v>3.9525060000000001</v>
      </c>
      <c r="X253" s="34"/>
    </row>
    <row r="254" spans="17:24" ht="12.75" hidden="1" customHeight="1">
      <c r="Q254" s="82">
        <v>38808</v>
      </c>
      <c r="S254" s="323">
        <v>3.7210779999999999</v>
      </c>
      <c r="U254" s="186">
        <v>42826</v>
      </c>
      <c r="W254" s="323">
        <v>4.0696750000000002</v>
      </c>
      <c r="X254" s="34"/>
    </row>
    <row r="255" spans="17:24" ht="12.75" hidden="1" customHeight="1">
      <c r="Q255" s="82">
        <v>38838</v>
      </c>
      <c r="S255" s="323">
        <v>3.6322580000000002</v>
      </c>
      <c r="U255" s="186">
        <v>42856</v>
      </c>
      <c r="W255" s="323">
        <v>4.0306199999999999</v>
      </c>
      <c r="X255" s="34"/>
    </row>
    <row r="256" spans="17:24" ht="12.75" hidden="1" customHeight="1">
      <c r="Q256" s="82">
        <v>38869</v>
      </c>
      <c r="S256" s="323">
        <v>3.3284020000000001</v>
      </c>
      <c r="U256" s="186">
        <v>42887</v>
      </c>
      <c r="W256" s="323">
        <v>4.0696750000000002</v>
      </c>
      <c r="X256" s="34"/>
    </row>
    <row r="257" spans="17:24" ht="12.75" hidden="1" customHeight="1">
      <c r="Q257" s="82">
        <v>38899</v>
      </c>
      <c r="S257" s="554">
        <v>3.300354</v>
      </c>
      <c r="U257" s="186">
        <v>42917</v>
      </c>
      <c r="W257" s="554">
        <v>4.1868449999999999</v>
      </c>
      <c r="X257" s="34"/>
    </row>
    <row r="258" spans="17:24" ht="12.75" hidden="1" customHeight="1">
      <c r="Q258" s="82">
        <v>38930</v>
      </c>
      <c r="S258" s="323">
        <v>3.2021839999999999</v>
      </c>
      <c r="U258" s="186">
        <v>42948</v>
      </c>
      <c r="W258" s="323">
        <v>4.3579119999999998</v>
      </c>
      <c r="X258" s="34"/>
    </row>
    <row r="259" spans="17:24" ht="12.75" hidden="1" customHeight="1">
      <c r="Q259" s="82">
        <v>38961</v>
      </c>
      <c r="S259" s="323">
        <v>3.342425</v>
      </c>
      <c r="U259" s="186">
        <v>42979</v>
      </c>
      <c r="W259" s="323">
        <v>4.4153209999999996</v>
      </c>
      <c r="X259" s="34"/>
    </row>
    <row r="260" spans="17:24" ht="12.75" hidden="1" customHeight="1">
      <c r="Q260" s="82">
        <v>38991</v>
      </c>
      <c r="S260" s="323">
        <v>3.4826679999999999</v>
      </c>
      <c r="U260" s="186">
        <v>43009</v>
      </c>
      <c r="W260" s="323">
        <v>4.6160180000000004</v>
      </c>
      <c r="X260" s="34"/>
    </row>
    <row r="261" spans="17:24" ht="12.75" hidden="1" customHeight="1">
      <c r="Q261" s="82">
        <v>39022</v>
      </c>
      <c r="S261" s="323">
        <v>3.636933</v>
      </c>
      <c r="U261" s="186">
        <v>43040</v>
      </c>
      <c r="W261" s="323">
        <v>4.3350419999999996</v>
      </c>
      <c r="X261" s="34"/>
    </row>
    <row r="262" spans="17:24" ht="12.75" hidden="1" customHeight="1">
      <c r="Q262" s="82">
        <v>39052</v>
      </c>
      <c r="S262" s="323">
        <v>3.8893680000000002</v>
      </c>
      <c r="U262" s="186">
        <v>43070</v>
      </c>
      <c r="W262" s="323">
        <v>4.463489</v>
      </c>
      <c r="X262" s="34"/>
    </row>
    <row r="263" spans="17:24" ht="12.75" hidden="1" customHeight="1">
      <c r="Q263" s="82">
        <v>39083</v>
      </c>
      <c r="S263" s="323">
        <v>4.0296089999999998</v>
      </c>
      <c r="U263" s="186">
        <v>43101</v>
      </c>
      <c r="W263" s="323">
        <v>4.4875720000000001</v>
      </c>
      <c r="X263" s="34"/>
    </row>
    <row r="264" spans="17:24" ht="12.75" hidden="1" customHeight="1">
      <c r="Q264" s="82">
        <v>39114</v>
      </c>
      <c r="S264" s="323">
        <v>4.1418039999999996</v>
      </c>
      <c r="U264" s="186">
        <v>43132</v>
      </c>
      <c r="W264" s="323">
        <v>4.2387079999999999</v>
      </c>
      <c r="X264" s="34"/>
    </row>
    <row r="265" spans="17:24" ht="12.75" hidden="1" customHeight="1">
      <c r="Q265" s="82">
        <v>39142</v>
      </c>
      <c r="S265" s="323">
        <v>4.3054180000000004</v>
      </c>
      <c r="U265" s="186">
        <v>43160</v>
      </c>
      <c r="W265" s="323">
        <v>4.2146249999999998</v>
      </c>
      <c r="X265" s="34"/>
    </row>
    <row r="266" spans="17:24" ht="12.75" hidden="1" customHeight="1">
      <c r="Q266" s="82">
        <v>39173</v>
      </c>
      <c r="S266" s="323">
        <v>4.2586719999999998</v>
      </c>
      <c r="U266" s="186">
        <v>43191</v>
      </c>
      <c r="W266" s="323">
        <v>4.426342</v>
      </c>
      <c r="X266" s="34"/>
    </row>
    <row r="267" spans="17:24" ht="12.75" hidden="1" customHeight="1">
      <c r="Q267" s="82">
        <v>39203</v>
      </c>
      <c r="S267" s="323">
        <v>4.1371289999999998</v>
      </c>
      <c r="U267" s="186">
        <v>43221</v>
      </c>
      <c r="W267" s="323">
        <v>4.7389840000000003</v>
      </c>
      <c r="X267" s="34"/>
    </row>
    <row r="268" spans="17:24" ht="12.75" hidden="1" customHeight="1">
      <c r="Q268" s="82">
        <v>39234</v>
      </c>
      <c r="S268" s="323">
        <v>4.2119239999999998</v>
      </c>
      <c r="U268" s="186">
        <v>43252</v>
      </c>
      <c r="W268" s="323">
        <v>4.8130300000000004</v>
      </c>
      <c r="X268" s="34"/>
    </row>
    <row r="269" spans="17:24" ht="12.75" hidden="1" customHeight="1">
      <c r="Q269" s="82">
        <v>39264</v>
      </c>
      <c r="S269" s="554">
        <v>4.3241180000000004</v>
      </c>
      <c r="U269" s="186">
        <v>43282</v>
      </c>
      <c r="W269" s="554">
        <v>4.755439</v>
      </c>
      <c r="X269" s="34"/>
    </row>
    <row r="270" spans="17:24" ht="12.75" hidden="1" customHeight="1">
      <c r="Q270" s="82">
        <v>39295</v>
      </c>
      <c r="S270" s="323">
        <v>4.2773700000000003</v>
      </c>
      <c r="U270" s="186">
        <v>43313</v>
      </c>
      <c r="W270" s="323">
        <v>4.5662070000000003</v>
      </c>
      <c r="X270" s="34"/>
    </row>
    <row r="271" spans="17:24" ht="12.75" hidden="1" customHeight="1">
      <c r="Q271" s="82">
        <v>39326</v>
      </c>
      <c r="S271" s="323">
        <v>4.2960690000000001</v>
      </c>
      <c r="U271" s="186">
        <v>43344</v>
      </c>
      <c r="W271" s="323">
        <v>4.9596080000000002</v>
      </c>
      <c r="X271" s="34"/>
    </row>
    <row r="272" spans="17:24" ht="12.75" hidden="1" customHeight="1">
      <c r="Q272" s="82">
        <v>39356</v>
      </c>
      <c r="S272" s="323">
        <v>4.2352980000000002</v>
      </c>
      <c r="U272" s="186">
        <v>43374</v>
      </c>
      <c r="W272" s="323">
        <v>4.7554379999999998</v>
      </c>
      <c r="X272" s="34"/>
    </row>
    <row r="273" spans="17:24" ht="12.75" hidden="1" customHeight="1">
      <c r="Q273" s="82">
        <v>39387</v>
      </c>
      <c r="S273" s="323">
        <v>4.0670089999999997</v>
      </c>
      <c r="U273" s="186">
        <v>43405</v>
      </c>
      <c r="W273" s="323">
        <v>4.9936350000000003</v>
      </c>
      <c r="X273" s="34"/>
    </row>
    <row r="274" spans="17:24" ht="12.75" hidden="1" customHeight="1">
      <c r="Q274" s="82">
        <v>39417</v>
      </c>
      <c r="S274" s="323">
        <v>3.8519709999999998</v>
      </c>
      <c r="U274" s="186">
        <v>43435</v>
      </c>
      <c r="W274" s="323">
        <v>5.0191559999999997</v>
      </c>
      <c r="X274" s="34"/>
    </row>
    <row r="275" spans="17:24" ht="12.75" hidden="1" customHeight="1">
      <c r="Q275" s="82">
        <v>39448</v>
      </c>
      <c r="S275" s="323">
        <v>3.562138</v>
      </c>
      <c r="U275" s="186">
        <v>43466</v>
      </c>
      <c r="W275" s="323">
        <v>5.138255</v>
      </c>
      <c r="X275" s="34"/>
    </row>
    <row r="276" spans="17:24" ht="12.75" hidden="1" customHeight="1">
      <c r="Q276" s="82">
        <v>39479</v>
      </c>
      <c r="S276" s="323">
        <v>3.6883550000000001</v>
      </c>
      <c r="U276" s="186">
        <v>43497</v>
      </c>
      <c r="W276" s="323">
        <v>5.3849590000000003</v>
      </c>
      <c r="X276" s="34"/>
    </row>
    <row r="277" spans="17:24" ht="12.75" hidden="1" customHeight="1">
      <c r="Q277" s="82">
        <v>39508</v>
      </c>
      <c r="S277" s="323">
        <v>3.7351030000000001</v>
      </c>
      <c r="U277" s="186">
        <v>43525</v>
      </c>
      <c r="W277" s="323">
        <v>5.9038890000000004</v>
      </c>
      <c r="X277" s="34"/>
    </row>
    <row r="278" spans="17:24" ht="12.75" hidden="1" customHeight="1">
      <c r="Q278" s="82">
        <v>39539</v>
      </c>
      <c r="S278" s="323">
        <v>4.5344810000000004</v>
      </c>
      <c r="U278" s="186">
        <v>43556</v>
      </c>
      <c r="W278" s="323">
        <v>5.852284</v>
      </c>
      <c r="X278" s="34"/>
    </row>
    <row r="279" spans="17:24" ht="12.75" hidden="1" customHeight="1">
      <c r="Q279" s="82">
        <v>39569</v>
      </c>
      <c r="S279" s="323">
        <v>4.4316360000000001</v>
      </c>
      <c r="U279" s="186">
        <v>43586</v>
      </c>
      <c r="W279" s="323">
        <v>6.4279169999999999</v>
      </c>
      <c r="X279" s="34"/>
    </row>
    <row r="280" spans="17:24" ht="12.75" hidden="1" customHeight="1">
      <c r="Q280" s="82">
        <v>39600</v>
      </c>
      <c r="S280" s="323">
        <v>3.7351030000000001</v>
      </c>
      <c r="U280" s="186">
        <v>43617</v>
      </c>
      <c r="W280" s="323">
        <v>6.9773870000000002</v>
      </c>
      <c r="X280" s="34"/>
    </row>
    <row r="281" spans="17:24" ht="12.75" hidden="1" customHeight="1">
      <c r="Q281" s="82">
        <v>39630</v>
      </c>
      <c r="S281" s="554">
        <v>3.9267650000000001</v>
      </c>
      <c r="U281" s="186">
        <v>43647</v>
      </c>
      <c r="W281" s="554">
        <v>6.7942309999999999</v>
      </c>
      <c r="X281" s="34"/>
    </row>
    <row r="282" spans="17:24" ht="12.75" hidden="1" customHeight="1">
      <c r="Q282" s="82">
        <v>39661</v>
      </c>
      <c r="S282" s="323">
        <v>3.908067</v>
      </c>
      <c r="U282" s="186">
        <v>43678</v>
      </c>
      <c r="W282" s="323">
        <v>7.3088129999999998</v>
      </c>
      <c r="X282" s="34"/>
    </row>
    <row r="283" spans="17:24" ht="12.75" hidden="1" customHeight="1">
      <c r="Q283" s="82">
        <v>39692</v>
      </c>
      <c r="S283" s="323">
        <v>3.6556329999999999</v>
      </c>
      <c r="U283" s="186">
        <v>43709</v>
      </c>
      <c r="W283" s="323">
        <v>7.6560119999999996</v>
      </c>
      <c r="X283" s="34"/>
    </row>
    <row r="284" spans="17:24" ht="12.75" hidden="1" customHeight="1">
      <c r="Q284" s="82">
        <v>39722</v>
      </c>
      <c r="S284" s="323">
        <v>3.389173</v>
      </c>
      <c r="U284" s="186">
        <v>43739</v>
      </c>
      <c r="W284" s="323">
        <v>6.616085</v>
      </c>
      <c r="X284" s="34"/>
    </row>
    <row r="285" spans="17:24" ht="12.75" hidden="1" customHeight="1">
      <c r="Q285" s="82">
        <v>39753</v>
      </c>
      <c r="S285" s="323">
        <v>3.155437</v>
      </c>
      <c r="U285" s="186">
        <v>43770</v>
      </c>
      <c r="W285" s="323">
        <v>6.4278230000000001</v>
      </c>
      <c r="X285" s="34"/>
    </row>
    <row r="286" spans="17:24" ht="12.75" hidden="1" customHeight="1">
      <c r="Q286" s="82">
        <v>39783</v>
      </c>
      <c r="S286" s="323">
        <v>3.426571</v>
      </c>
      <c r="U286" s="186">
        <v>43800</v>
      </c>
      <c r="W286" s="323">
        <v>6.3919629999999996</v>
      </c>
      <c r="X286" s="34"/>
    </row>
    <row r="287" spans="17:24" ht="12.75" hidden="1" customHeight="1">
      <c r="Q287" s="82">
        <v>39814</v>
      </c>
      <c r="S287" s="323">
        <v>3.2115339999999999</v>
      </c>
      <c r="U287" s="186">
        <v>43831</v>
      </c>
      <c r="W287" s="323">
        <v>6.6698750000000002</v>
      </c>
      <c r="X287" s="34"/>
    </row>
    <row r="288" spans="17:24" ht="12.75" hidden="1" customHeight="1">
      <c r="Q288" s="82">
        <v>39845</v>
      </c>
      <c r="S288" s="323">
        <v>2.7814589999999999</v>
      </c>
      <c r="U288" s="186">
        <v>43862</v>
      </c>
      <c r="W288" s="323">
        <v>6.0064729999999997</v>
      </c>
      <c r="X288" s="34"/>
    </row>
    <row r="289" spans="17:24" ht="12.75" hidden="1" customHeight="1">
      <c r="Q289" s="82">
        <v>39873</v>
      </c>
      <c r="S289" s="323">
        <v>2.67394</v>
      </c>
      <c r="U289" s="186">
        <v>43891</v>
      </c>
      <c r="W289" s="323">
        <v>5.1637740000000001</v>
      </c>
      <c r="X289" s="34"/>
    </row>
    <row r="290" spans="17:24" ht="12.75" hidden="1" customHeight="1">
      <c r="Q290" s="82">
        <v>39904</v>
      </c>
      <c r="S290" s="323">
        <v>2.7179799999999998</v>
      </c>
      <c r="U290" s="186">
        <v>43922</v>
      </c>
      <c r="W290" s="323">
        <v>5.7952779999999997</v>
      </c>
      <c r="X290" s="34"/>
    </row>
    <row r="291" spans="17:24" ht="12.75" hidden="1" customHeight="1">
      <c r="Q291" s="82">
        <v>39934</v>
      </c>
      <c r="S291" s="323">
        <v>2.7275170000000002</v>
      </c>
      <c r="U291" s="186">
        <v>43952</v>
      </c>
      <c r="W291" s="323">
        <v>5.7215699999999998</v>
      </c>
      <c r="X291" s="34"/>
    </row>
    <row r="292" spans="17:24" ht="12.75" hidden="1" customHeight="1">
      <c r="Q292" s="82">
        <v>39965</v>
      </c>
      <c r="S292" s="323">
        <v>2.7895050000000001</v>
      </c>
      <c r="U292" s="186">
        <v>43983</v>
      </c>
      <c r="W292" s="323">
        <v>5.7676369999999997</v>
      </c>
      <c r="X292" s="34"/>
    </row>
    <row r="293" spans="17:24" ht="12.75" hidden="1" customHeight="1">
      <c r="Q293" s="82">
        <v>39995</v>
      </c>
      <c r="S293" s="554">
        <v>3.0040840000000002</v>
      </c>
      <c r="U293" s="186">
        <v>44013</v>
      </c>
      <c r="W293" s="554">
        <v>5.3806719999999997</v>
      </c>
      <c r="X293" s="34"/>
    </row>
    <row r="294" spans="17:24" ht="12.75" hidden="1" customHeight="1">
      <c r="Q294" s="82">
        <v>40026</v>
      </c>
      <c r="S294" s="323">
        <v>2.9802409999999999</v>
      </c>
      <c r="U294" s="186">
        <v>44044</v>
      </c>
      <c r="W294" s="323">
        <v>5.7584239999999998</v>
      </c>
      <c r="X294" s="34"/>
    </row>
    <row r="295" spans="17:24" ht="12.75" hidden="1" customHeight="1">
      <c r="Q295" s="82">
        <v>40057</v>
      </c>
      <c r="S295" s="323">
        <v>2.8215370000000002</v>
      </c>
      <c r="U295" s="186">
        <v>44075</v>
      </c>
      <c r="W295" s="323">
        <v>6.3531589999999998</v>
      </c>
      <c r="X295" s="34"/>
    </row>
    <row r="296" spans="17:24" ht="12.75" hidden="1" customHeight="1">
      <c r="Q296" s="82">
        <v>40087</v>
      </c>
      <c r="S296" s="323">
        <v>3.066462</v>
      </c>
      <c r="U296" s="186">
        <v>44105</v>
      </c>
      <c r="W296" s="323">
        <v>7.0505740000000001</v>
      </c>
      <c r="X296" s="34"/>
    </row>
    <row r="297" spans="17:24" ht="12.75" hidden="1" customHeight="1">
      <c r="Q297" s="82">
        <v>40118</v>
      </c>
      <c r="S297" s="323">
        <v>2.8705219999999998</v>
      </c>
      <c r="U297" s="186">
        <v>44136</v>
      </c>
      <c r="W297" s="323">
        <v>7.4518259999999996</v>
      </c>
      <c r="X297" s="34"/>
    </row>
    <row r="298" spans="17:24" ht="12.75" hidden="1" customHeight="1">
      <c r="Q298" s="82">
        <v>40148</v>
      </c>
      <c r="S298" s="323">
        <v>3.0125799999999998</v>
      </c>
      <c r="U298" s="186">
        <v>44166</v>
      </c>
      <c r="W298" s="323">
        <v>8.5122780000000002</v>
      </c>
      <c r="X298" s="34"/>
    </row>
    <row r="299" spans="17:24" ht="12.75" hidden="1" customHeight="1">
      <c r="Q299" s="82">
        <v>40179</v>
      </c>
      <c r="S299" s="323">
        <v>2.8411309999999999</v>
      </c>
      <c r="U299" s="186">
        <v>44197</v>
      </c>
      <c r="W299" s="323">
        <v>7.8053100000000004</v>
      </c>
      <c r="X299" s="34"/>
    </row>
    <row r="300" spans="17:24" ht="12.75" hidden="1" customHeight="1">
      <c r="Q300" s="82">
        <v>40210</v>
      </c>
      <c r="S300" s="323">
        <v>2.997884</v>
      </c>
      <c r="U300" s="186">
        <v>44228</v>
      </c>
      <c r="W300" s="323">
        <v>6.5346780000000004</v>
      </c>
      <c r="X300" s="34"/>
    </row>
    <row r="301" spans="17:24" ht="12.75" hidden="1" customHeight="1">
      <c r="Q301" s="82">
        <v>40238</v>
      </c>
      <c r="S301" s="323">
        <v>3.1350410000000002</v>
      </c>
      <c r="U301" s="186">
        <v>44256</v>
      </c>
      <c r="W301" s="323">
        <v>6.6970900000000002</v>
      </c>
    </row>
    <row r="302" spans="17:24" ht="12.75" hidden="1" customHeight="1">
      <c r="Q302" s="82">
        <v>40269</v>
      </c>
      <c r="S302" s="323">
        <v>3.1173199999999999</v>
      </c>
      <c r="U302" s="186">
        <v>44287</v>
      </c>
      <c r="W302" s="323">
        <v>7.3485360000000002</v>
      </c>
    </row>
    <row r="303" spans="17:24" ht="12.75" hidden="1" customHeight="1">
      <c r="Q303" s="82">
        <v>40299</v>
      </c>
      <c r="S303" s="323">
        <v>2.9277880000000001</v>
      </c>
      <c r="U303" s="186">
        <v>44317</v>
      </c>
      <c r="W303" s="323">
        <v>7.6799030000000004</v>
      </c>
    </row>
    <row r="304" spans="17:24" ht="12.75" hidden="1" customHeight="1">
      <c r="Q304" s="82">
        <v>40330</v>
      </c>
      <c r="S304" s="323">
        <v>2.838009</v>
      </c>
      <c r="U304" s="186">
        <v>44348</v>
      </c>
      <c r="W304" s="323">
        <v>8.0697460000000003</v>
      </c>
    </row>
    <row r="305" spans="1:23" ht="12.75" hidden="1" customHeight="1">
      <c r="Q305" s="82">
        <v>40360</v>
      </c>
      <c r="S305" s="554">
        <v>2.842997</v>
      </c>
      <c r="U305" s="186">
        <v>44378</v>
      </c>
      <c r="W305" s="554">
        <v>7.9527929999999998</v>
      </c>
    </row>
    <row r="306" spans="1:23" ht="12.75" hidden="1" customHeight="1">
      <c r="Q306" s="82">
        <v>40391</v>
      </c>
      <c r="S306" s="323">
        <v>2.828033</v>
      </c>
      <c r="U306" s="186">
        <v>44409</v>
      </c>
      <c r="W306" s="323">
        <v>7.943047</v>
      </c>
    </row>
    <row r="307" spans="1:23" ht="12.75" hidden="1" customHeight="1">
      <c r="Q307" s="82">
        <v>40422</v>
      </c>
      <c r="S307" s="323">
        <v>2.8922680000000001</v>
      </c>
      <c r="U307" s="186">
        <v>44440</v>
      </c>
      <c r="W307" s="323">
        <v>8.4499999999999993</v>
      </c>
    </row>
    <row r="308" spans="1:23" ht="12.75" hidden="1" customHeight="1">
      <c r="Q308" s="82">
        <v>40452</v>
      </c>
      <c r="S308" s="323">
        <v>3.0650369999999998</v>
      </c>
      <c r="U308" s="186">
        <v>44470</v>
      </c>
      <c r="W308" s="323">
        <v>8.18</v>
      </c>
    </row>
    <row r="309" spans="1:23" ht="12.75" hidden="1" customHeight="1">
      <c r="Q309" s="82">
        <v>40483</v>
      </c>
      <c r="S309" s="323">
        <v>3.1069520000000002</v>
      </c>
      <c r="U309" s="186">
        <v>44501</v>
      </c>
      <c r="W309" s="323">
        <v>7.85</v>
      </c>
    </row>
    <row r="310" spans="1:23" ht="12.75" hidden="1" customHeight="1">
      <c r="Q310" s="82">
        <v>40513</v>
      </c>
      <c r="S310" s="323">
        <v>3.2641339999999999</v>
      </c>
      <c r="U310" s="186">
        <v>44531</v>
      </c>
      <c r="W310" s="28"/>
    </row>
    <row r="311" spans="1:23" ht="12.75" hidden="1" customHeight="1">
      <c r="A311" s="4"/>
      <c r="B311" s="4"/>
      <c r="C311" s="4"/>
      <c r="D311" s="4"/>
      <c r="E311" s="4"/>
      <c r="F311" s="4"/>
      <c r="G311" s="4"/>
      <c r="H311" s="4"/>
      <c r="I311" s="4"/>
      <c r="J311" s="4"/>
      <c r="K311" s="4"/>
      <c r="L311" s="4"/>
      <c r="M311" s="4"/>
      <c r="N311" s="4"/>
      <c r="O311" s="4"/>
      <c r="P311" s="4"/>
      <c r="Q311" s="1456">
        <v>40544</v>
      </c>
      <c r="R311" s="4"/>
      <c r="S311" s="1457">
        <v>3.2222189999999999</v>
      </c>
      <c r="T311" s="4"/>
      <c r="U311" s="4"/>
      <c r="V311" s="4"/>
      <c r="W311" s="4"/>
    </row>
    <row r="312" spans="1:23" ht="12.75" hidden="1" customHeight="1"/>
  </sheetData>
  <mergeCells count="12">
    <mergeCell ref="A1:D1"/>
    <mergeCell ref="Q1:S1"/>
    <mergeCell ref="W1:AA1"/>
    <mergeCell ref="B9:C9"/>
    <mergeCell ref="C26:E26"/>
    <mergeCell ref="U1:V1"/>
    <mergeCell ref="Q168:S168"/>
    <mergeCell ref="A75:E75"/>
    <mergeCell ref="R75:T75"/>
    <mergeCell ref="W75:AA75"/>
    <mergeCell ref="W168:AA168"/>
    <mergeCell ref="U75:V75"/>
  </mergeCells>
  <printOptions headings="1" gridLines="1"/>
  <pageMargins left="0.7" right="0.7" top="0.75" bottom="0.75" header="0.3" footer="0.3"/>
  <pageSetup paperSize="9" scale="49" fitToHeight="0" orientation="portrait" r:id="rId1"/>
  <rowBreaks count="1" manualBreakCount="1">
    <brk id="177"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17A8-8FA5-48E8-BE2E-DA4C9EC972C5}">
  <sheetPr>
    <tabColor rgb="FF7030A0"/>
    <pageSetUpPr fitToPage="1"/>
  </sheetPr>
  <dimension ref="A1:AF110"/>
  <sheetViews>
    <sheetView view="pageBreakPreview" zoomScale="96" zoomScaleNormal="100" zoomScaleSheetLayoutView="96" workbookViewId="0">
      <selection sqref="A1:D1"/>
    </sheetView>
  </sheetViews>
  <sheetFormatPr defaultRowHeight="12.75"/>
  <cols>
    <col min="1" max="1" width="9.28515625" customWidth="1"/>
    <col min="2" max="2" width="32.28515625" customWidth="1"/>
    <col min="3" max="3" width="3.28515625" customWidth="1"/>
    <col min="4" max="4" width="7" hidden="1" customWidth="1"/>
    <col min="26" max="26" width="15.28515625" customWidth="1"/>
    <col min="27" max="27" width="8.5703125" customWidth="1"/>
    <col min="28" max="28" width="11" customWidth="1"/>
    <col min="29" max="29" width="15" customWidth="1"/>
    <col min="30" max="30" width="8" customWidth="1"/>
  </cols>
  <sheetData>
    <row r="1" spans="1:32" ht="18">
      <c r="A1" s="1533" t="s">
        <v>0</v>
      </c>
      <c r="B1" s="1541"/>
      <c r="C1" s="1541"/>
      <c r="D1" s="1534"/>
      <c r="E1" s="1606"/>
      <c r="F1" s="1576"/>
      <c r="G1" s="1576"/>
      <c r="H1" s="25"/>
      <c r="I1" s="25"/>
      <c r="J1" s="25"/>
      <c r="K1" s="25"/>
      <c r="L1" s="25"/>
      <c r="M1" s="1172"/>
      <c r="N1" s="990"/>
      <c r="O1" s="718"/>
      <c r="P1" s="991"/>
      <c r="Q1" s="946"/>
      <c r="R1" s="946"/>
      <c r="S1" s="1093"/>
      <c r="T1" s="1220"/>
      <c r="U1" s="1600" t="s">
        <v>21</v>
      </c>
      <c r="V1" s="1601"/>
      <c r="W1" s="1601"/>
      <c r="X1" s="1601"/>
      <c r="Y1" s="1601"/>
      <c r="Z1" s="1602"/>
      <c r="AA1" s="1189">
        <v>7</v>
      </c>
      <c r="AC1" s="1097"/>
      <c r="AD1" s="1428"/>
    </row>
    <row r="2" spans="1:32" ht="26.25">
      <c r="A2" s="1218" t="s">
        <v>1454</v>
      </c>
      <c r="B2" s="1219"/>
      <c r="C2" s="1219"/>
      <c r="D2" s="1221"/>
      <c r="E2" s="1205"/>
      <c r="F2" s="1551"/>
      <c r="G2" s="1551"/>
      <c r="I2" s="1603" t="s">
        <v>101</v>
      </c>
      <c r="J2" s="1604"/>
      <c r="K2" s="1604"/>
      <c r="L2" s="1605"/>
      <c r="M2" s="1094"/>
      <c r="N2" s="1094"/>
      <c r="O2" s="1095"/>
      <c r="P2" s="1096"/>
      <c r="Q2" s="15"/>
      <c r="R2" s="15"/>
      <c r="S2" s="15"/>
      <c r="T2" s="15"/>
      <c r="U2" s="15"/>
      <c r="V2" s="15"/>
      <c r="W2" s="15"/>
      <c r="X2" s="15"/>
      <c r="Y2" s="15"/>
      <c r="Z2" s="15"/>
      <c r="AA2" s="15"/>
      <c r="AB2" s="1178"/>
      <c r="AC2" s="1178"/>
      <c r="AD2" s="1178"/>
      <c r="AE2" s="1178"/>
      <c r="AF2" s="1110"/>
    </row>
    <row r="3" spans="1:32" ht="15">
      <c r="A3" s="624"/>
      <c r="B3" s="624"/>
      <c r="C3" s="624"/>
      <c r="D3" s="624"/>
      <c r="E3" s="1173"/>
      <c r="F3" s="1173"/>
      <c r="G3" s="1173"/>
      <c r="H3" s="1217"/>
      <c r="I3" s="1217"/>
      <c r="J3" s="1217"/>
      <c r="K3" s="1217"/>
      <c r="L3" s="1217"/>
      <c r="M3" s="1217"/>
      <c r="N3" s="1094"/>
      <c r="O3" s="1095"/>
      <c r="P3" s="1096"/>
      <c r="Q3" s="15"/>
      <c r="R3" s="15"/>
      <c r="S3" s="15"/>
      <c r="T3" s="15"/>
      <c r="U3" s="15"/>
      <c r="V3" s="15"/>
      <c r="W3" s="15"/>
      <c r="X3" s="15"/>
      <c r="Y3" s="15"/>
      <c r="Z3" s="15"/>
      <c r="AA3" s="15"/>
      <c r="AB3" s="1178"/>
      <c r="AC3" s="1178"/>
      <c r="AD3" s="1178"/>
      <c r="AE3" s="1178"/>
      <c r="AF3" s="1110"/>
    </row>
    <row r="4" spans="1:32" ht="15">
      <c r="A4" s="1086" t="s">
        <v>341</v>
      </c>
      <c r="B4" s="15"/>
      <c r="C4" s="1087" t="s">
        <v>342</v>
      </c>
      <c r="D4" s="1087"/>
      <c r="E4" s="1087"/>
      <c r="F4" s="1087"/>
      <c r="G4" s="1087"/>
      <c r="H4" s="1087"/>
      <c r="I4" s="1087"/>
      <c r="J4" s="1087"/>
      <c r="K4" s="1087"/>
      <c r="L4" s="1087"/>
      <c r="M4" s="1087"/>
      <c r="N4" s="1087"/>
      <c r="O4" s="1087"/>
      <c r="P4" s="1087"/>
      <c r="Q4" s="1087"/>
      <c r="R4" s="1087"/>
      <c r="S4" s="1087"/>
      <c r="T4" s="1087"/>
      <c r="U4" s="1087"/>
      <c r="V4" s="1087"/>
      <c r="W4" s="15"/>
      <c r="X4" s="15"/>
      <c r="Y4" s="15"/>
      <c r="Z4" s="15"/>
      <c r="AA4" s="15"/>
      <c r="AB4" s="1178"/>
      <c r="AC4" s="1178"/>
      <c r="AD4" s="1178"/>
      <c r="AE4" s="1178"/>
      <c r="AF4" s="1382"/>
    </row>
    <row r="5" spans="1:32" ht="15">
      <c r="A5" s="1086"/>
      <c r="B5" s="15"/>
      <c r="C5" s="1087" t="s">
        <v>343</v>
      </c>
      <c r="D5" s="1087"/>
      <c r="E5" s="1087"/>
      <c r="F5" s="1087"/>
      <c r="G5" s="1087"/>
      <c r="H5" s="1087"/>
      <c r="I5" s="1087"/>
      <c r="J5" s="1087"/>
      <c r="K5" s="1087"/>
      <c r="L5" s="1087"/>
      <c r="M5" s="1087"/>
      <c r="N5" s="1087"/>
      <c r="O5" s="1087"/>
      <c r="P5" s="1087"/>
      <c r="Q5" s="1087"/>
      <c r="R5" s="1087"/>
      <c r="S5" s="1087"/>
      <c r="T5" s="1087"/>
      <c r="U5" s="1087"/>
      <c r="V5" s="1087"/>
      <c r="W5" s="15"/>
      <c r="X5" s="15"/>
      <c r="Y5" s="15"/>
      <c r="Z5" s="15"/>
      <c r="AA5" s="15"/>
      <c r="AB5" s="1178"/>
      <c r="AC5" s="1178"/>
      <c r="AD5" s="1178"/>
      <c r="AE5" s="1178"/>
      <c r="AF5" s="1382"/>
    </row>
    <row r="6" spans="1:32" ht="15">
      <c r="A6" s="1086"/>
      <c r="B6" s="15"/>
      <c r="C6" s="1087" t="s">
        <v>1438</v>
      </c>
      <c r="D6" s="1087"/>
      <c r="E6" s="1087"/>
      <c r="F6" s="1087"/>
      <c r="G6" s="1087"/>
      <c r="H6" s="1087"/>
      <c r="I6" s="1087"/>
      <c r="J6" s="1087"/>
      <c r="K6" s="1087"/>
      <c r="L6" s="1087"/>
      <c r="M6" s="1087"/>
      <c r="N6" s="1087"/>
      <c r="O6" s="1087"/>
      <c r="P6" s="1087"/>
      <c r="Q6" s="1087"/>
      <c r="R6" s="1087"/>
      <c r="S6" s="1087"/>
      <c r="T6" s="1087"/>
      <c r="U6" s="1087"/>
      <c r="V6" s="1087"/>
      <c r="W6" s="15"/>
      <c r="X6" s="15"/>
      <c r="Y6" s="15"/>
      <c r="Z6" s="15"/>
      <c r="AA6" s="15"/>
      <c r="AB6" s="1178"/>
      <c r="AC6" s="1178"/>
      <c r="AD6" s="1178"/>
      <c r="AE6" s="1178"/>
      <c r="AF6" s="1382"/>
    </row>
    <row r="7" spans="1:32" ht="15">
      <c r="A7" s="1086"/>
      <c r="B7" s="15"/>
      <c r="C7" s="1087" t="s">
        <v>344</v>
      </c>
      <c r="D7" s="1087"/>
      <c r="E7" s="1087"/>
      <c r="F7" s="1087"/>
      <c r="G7" s="1087"/>
      <c r="H7" s="1087"/>
      <c r="I7" s="1087"/>
      <c r="J7" s="1087"/>
      <c r="K7" s="1087"/>
      <c r="L7" s="1087"/>
      <c r="M7" s="1087"/>
      <c r="N7" s="1087"/>
      <c r="O7" s="1087"/>
      <c r="P7" s="1087"/>
      <c r="Q7" s="1087"/>
      <c r="R7" s="1087"/>
      <c r="S7" s="1087"/>
      <c r="T7" s="1087"/>
      <c r="U7" s="1087"/>
      <c r="V7" s="1087"/>
      <c r="W7" s="15"/>
      <c r="X7" s="15"/>
      <c r="Y7" s="15"/>
      <c r="Z7" s="15"/>
      <c r="AA7" s="15"/>
      <c r="AB7" s="1178"/>
      <c r="AC7" s="1178"/>
      <c r="AD7" s="1178"/>
      <c r="AE7" s="1178"/>
      <c r="AF7" s="1382"/>
    </row>
    <row r="8" spans="1:32" ht="15">
      <c r="A8" s="1086"/>
      <c r="B8" s="15"/>
      <c r="C8" s="1087" t="s">
        <v>345</v>
      </c>
      <c r="D8" s="1087"/>
      <c r="E8" s="1087"/>
      <c r="F8" s="1087"/>
      <c r="G8" s="1087"/>
      <c r="H8" s="1087"/>
      <c r="I8" s="1087"/>
      <c r="J8" s="1087"/>
      <c r="K8" s="1087"/>
      <c r="L8" s="1087"/>
      <c r="M8" s="1087"/>
      <c r="N8" s="1087"/>
      <c r="O8" s="1087"/>
      <c r="P8" s="1087"/>
      <c r="Q8" s="1087"/>
      <c r="R8" s="1087"/>
      <c r="S8" s="1087"/>
      <c r="T8" s="1087"/>
      <c r="U8" s="1087"/>
      <c r="V8" s="1087"/>
      <c r="W8" s="15"/>
      <c r="X8" s="15"/>
      <c r="Y8" s="15"/>
      <c r="Z8" s="15"/>
      <c r="AA8" s="15"/>
      <c r="AB8" s="1178"/>
      <c r="AC8" s="1178"/>
      <c r="AD8" s="1178"/>
      <c r="AE8" s="1178"/>
      <c r="AF8" s="1382"/>
    </row>
    <row r="9" spans="1:32" ht="15">
      <c r="A9" s="1086"/>
      <c r="B9" s="1087"/>
      <c r="C9" s="1087"/>
      <c r="D9" s="1087"/>
      <c r="E9" s="1087"/>
      <c r="F9" s="1087"/>
      <c r="G9" s="1087"/>
      <c r="H9" s="1087"/>
      <c r="I9" s="1087"/>
      <c r="J9" s="1087"/>
      <c r="K9" s="1087"/>
      <c r="L9" s="1087"/>
      <c r="M9" s="1087"/>
      <c r="N9" s="1087"/>
      <c r="O9" s="1087"/>
      <c r="P9" s="1087"/>
      <c r="Q9" s="1087"/>
      <c r="R9" s="1087"/>
      <c r="S9" s="1087"/>
      <c r="T9" s="1087"/>
      <c r="U9" s="1087"/>
      <c r="V9" s="1087"/>
      <c r="W9" s="15"/>
      <c r="X9" s="15"/>
      <c r="Y9" s="15"/>
      <c r="Z9" s="15"/>
      <c r="AA9" s="15"/>
      <c r="AB9" s="1178"/>
      <c r="AC9" s="1178"/>
      <c r="AD9" s="1178"/>
      <c r="AE9" s="1178"/>
      <c r="AF9" s="1382"/>
    </row>
    <row r="10" spans="1:32" ht="15">
      <c r="A10" s="1088" t="s">
        <v>346</v>
      </c>
      <c r="B10" s="1089"/>
      <c r="C10" s="1089"/>
      <c r="D10" s="1089"/>
      <c r="E10" s="1089"/>
      <c r="F10" s="1089"/>
      <c r="G10" s="1089"/>
      <c r="H10" s="1089"/>
      <c r="I10" s="1089"/>
      <c r="J10" s="1063"/>
      <c r="K10" s="1089"/>
      <c r="L10" s="1089"/>
      <c r="M10" s="1089"/>
      <c r="N10" s="1089"/>
      <c r="O10" s="1089"/>
      <c r="P10" s="1089"/>
      <c r="Q10" s="1089"/>
      <c r="R10" s="1089"/>
      <c r="S10" s="1089"/>
      <c r="T10" s="1089"/>
      <c r="U10" s="1089"/>
      <c r="V10" s="1089"/>
      <c r="W10" s="1063"/>
      <c r="X10" s="1063"/>
      <c r="Y10" s="1063"/>
      <c r="Z10" s="1063"/>
      <c r="AA10" s="1063"/>
      <c r="AB10" s="1178"/>
      <c r="AC10" s="1178"/>
      <c r="AD10" s="1178"/>
      <c r="AE10" s="1178"/>
      <c r="AF10" s="1382"/>
    </row>
    <row r="11" spans="1:32" ht="15">
      <c r="A11" s="15" t="s">
        <v>1496</v>
      </c>
      <c r="B11" s="1087"/>
      <c r="C11" s="1087"/>
      <c r="D11" s="1087"/>
      <c r="E11" s="1087"/>
      <c r="F11" s="1087"/>
      <c r="G11" s="1087"/>
      <c r="H11" s="1087"/>
      <c r="I11" s="1087"/>
      <c r="J11" s="15"/>
      <c r="K11" s="1087"/>
      <c r="L11" s="1087"/>
      <c r="M11" s="1087"/>
      <c r="N11" s="1087"/>
      <c r="O11" s="1087"/>
      <c r="P11" s="1087"/>
      <c r="Q11" s="1087"/>
      <c r="R11" s="1087"/>
      <c r="S11" s="1087"/>
      <c r="T11" s="1087"/>
      <c r="U11" s="1087"/>
      <c r="V11" s="1087"/>
      <c r="W11" s="15"/>
      <c r="X11" s="15"/>
      <c r="Y11" s="15"/>
      <c r="Z11" s="15"/>
      <c r="AA11" s="15"/>
      <c r="AB11" s="1178"/>
      <c r="AC11" s="1178"/>
      <c r="AD11" s="1178"/>
      <c r="AE11" s="1178"/>
      <c r="AF11" s="1382"/>
    </row>
    <row r="12" spans="1:32" ht="15">
      <c r="A12" s="1063" t="s">
        <v>1497</v>
      </c>
      <c r="B12" s="1087"/>
      <c r="C12" s="1087"/>
      <c r="D12" s="1087"/>
      <c r="E12" s="1087"/>
      <c r="F12" s="1087"/>
      <c r="G12" s="1087"/>
      <c r="H12" s="1087"/>
      <c r="I12" s="1087"/>
      <c r="J12" s="1087"/>
      <c r="K12" s="1087"/>
      <c r="L12" s="1087"/>
      <c r="M12" s="1087"/>
      <c r="N12" s="1087"/>
      <c r="O12" s="1087"/>
      <c r="P12" s="1087"/>
      <c r="Q12" s="1087"/>
      <c r="R12" s="1087"/>
      <c r="S12" s="1087"/>
      <c r="T12" s="1087"/>
      <c r="U12" s="1087"/>
      <c r="V12" s="1087"/>
      <c r="W12" s="15"/>
      <c r="X12" s="15"/>
      <c r="Y12" s="15"/>
      <c r="Z12" s="15"/>
      <c r="AA12" s="15"/>
      <c r="AB12" s="1178"/>
      <c r="AC12" s="1178"/>
      <c r="AD12" s="1178"/>
      <c r="AE12" s="1178"/>
      <c r="AF12" s="1382"/>
    </row>
    <row r="13" spans="1:32" ht="15.75">
      <c r="A13" s="1086">
        <v>3000</v>
      </c>
      <c r="B13" s="99" t="s">
        <v>347</v>
      </c>
      <c r="C13" s="1087"/>
      <c r="D13" s="1087"/>
      <c r="E13" s="15" t="s">
        <v>348</v>
      </c>
      <c r="F13" s="15"/>
      <c r="G13" s="1087"/>
      <c r="H13" s="1087"/>
      <c r="I13" s="1087"/>
      <c r="J13" s="1087"/>
      <c r="K13" s="1087"/>
      <c r="L13" s="1087"/>
      <c r="M13" s="1087"/>
      <c r="N13" s="1087"/>
      <c r="O13" s="1087"/>
      <c r="P13" s="1087"/>
      <c r="Q13" s="1087"/>
      <c r="R13" s="1087"/>
      <c r="S13" s="1087"/>
      <c r="T13" s="1087"/>
      <c r="U13" s="1087"/>
      <c r="V13" s="1087"/>
      <c r="W13" s="15"/>
      <c r="X13" s="15"/>
      <c r="Y13" s="15"/>
      <c r="Z13" s="15"/>
      <c r="AA13" s="15"/>
      <c r="AB13" s="1178"/>
      <c r="AC13" s="1178"/>
      <c r="AD13" s="1178"/>
      <c r="AE13" s="1178"/>
      <c r="AF13" s="1382"/>
    </row>
    <row r="14" spans="1:32" ht="15.75">
      <c r="A14" s="1086"/>
      <c r="B14" s="99"/>
      <c r="C14" s="1087"/>
      <c r="D14" s="1087"/>
      <c r="E14" s="15" t="s">
        <v>349</v>
      </c>
      <c r="F14" s="15"/>
      <c r="G14" s="1087"/>
      <c r="H14" s="1087"/>
      <c r="I14" s="1087"/>
      <c r="J14" s="1087"/>
      <c r="K14" s="1087"/>
      <c r="L14" s="1087"/>
      <c r="M14" s="1087"/>
      <c r="N14" s="1087"/>
      <c r="O14" s="1087"/>
      <c r="P14" s="1087"/>
      <c r="Q14" s="1087"/>
      <c r="R14" s="1087"/>
      <c r="S14" s="1087"/>
      <c r="T14" s="1087"/>
      <c r="U14" s="1087"/>
      <c r="V14" s="1087"/>
      <c r="W14" s="15"/>
      <c r="X14" s="15"/>
      <c r="Y14" s="15"/>
      <c r="Z14" s="15"/>
      <c r="AA14" s="15"/>
      <c r="AB14" s="1178"/>
      <c r="AC14" s="1178"/>
      <c r="AD14" s="1178"/>
      <c r="AE14" s="1178"/>
      <c r="AF14" s="1382"/>
    </row>
    <row r="15" spans="1:32" ht="15">
      <c r="A15" s="1086"/>
      <c r="B15" s="1087"/>
      <c r="C15" s="1087"/>
      <c r="D15" s="1087"/>
      <c r="E15" s="1087" t="s">
        <v>350</v>
      </c>
      <c r="F15" s="15"/>
      <c r="G15" s="1087"/>
      <c r="H15" s="1087"/>
      <c r="I15" s="1087"/>
      <c r="J15" s="1087"/>
      <c r="K15" s="1087"/>
      <c r="L15" s="1087"/>
      <c r="M15" s="1087"/>
      <c r="N15" s="1087"/>
      <c r="O15" s="1087"/>
      <c r="P15" s="1087"/>
      <c r="Q15" s="1087"/>
      <c r="R15" s="1087"/>
      <c r="S15" s="1087"/>
      <c r="T15" s="1087"/>
      <c r="U15" s="1087"/>
      <c r="V15" s="1087"/>
      <c r="W15" s="15"/>
      <c r="X15" s="15"/>
      <c r="Y15" s="15"/>
      <c r="Z15" s="15"/>
      <c r="AA15" s="15"/>
      <c r="AB15" s="1178"/>
      <c r="AC15" s="1178"/>
      <c r="AD15" s="1178"/>
      <c r="AE15" s="1178"/>
      <c r="AF15" s="1382"/>
    </row>
    <row r="16" spans="1:32" ht="15">
      <c r="A16" s="1086"/>
      <c r="B16" s="1087"/>
      <c r="C16" s="1087"/>
      <c r="D16" s="1087"/>
      <c r="E16" s="1087" t="s">
        <v>351</v>
      </c>
      <c r="F16" s="15"/>
      <c r="G16" s="1087"/>
      <c r="H16" s="1087"/>
      <c r="I16" s="1087"/>
      <c r="J16" s="1087"/>
      <c r="K16" s="1087"/>
      <c r="L16" s="1087"/>
      <c r="M16" s="1087"/>
      <c r="N16" s="1087"/>
      <c r="O16" s="1087"/>
      <c r="P16" s="1087"/>
      <c r="Q16" s="1087"/>
      <c r="R16" s="1087"/>
      <c r="S16" s="1087"/>
      <c r="T16" s="1087"/>
      <c r="U16" s="1087"/>
      <c r="V16" s="1087"/>
      <c r="W16" s="15"/>
      <c r="X16" s="15"/>
      <c r="Y16" s="15"/>
      <c r="Z16" s="15"/>
      <c r="AA16" s="15"/>
      <c r="AB16" s="1178"/>
      <c r="AC16" s="1178"/>
      <c r="AD16" s="1178"/>
      <c r="AE16" s="1178"/>
      <c r="AF16" s="1382"/>
    </row>
    <row r="17" spans="1:32" ht="15">
      <c r="A17" s="1086"/>
      <c r="B17" s="1087"/>
      <c r="C17" s="1087"/>
      <c r="D17" s="1087"/>
      <c r="E17" s="1087" t="s">
        <v>1498</v>
      </c>
      <c r="F17" s="15"/>
      <c r="G17" s="1087"/>
      <c r="H17" s="1087"/>
      <c r="I17" s="1087"/>
      <c r="J17" s="1087"/>
      <c r="K17" s="1087"/>
      <c r="L17" s="1087"/>
      <c r="M17" s="1087"/>
      <c r="N17" s="1087"/>
      <c r="O17" s="1087"/>
      <c r="P17" s="1087"/>
      <c r="Q17" s="1087"/>
      <c r="R17" s="1087"/>
      <c r="S17" s="1087"/>
      <c r="T17" s="1087"/>
      <c r="U17" s="1087"/>
      <c r="V17" s="1087"/>
      <c r="W17" s="15"/>
      <c r="X17" s="15"/>
      <c r="Y17" s="15"/>
      <c r="Z17" s="15"/>
      <c r="AA17" s="15"/>
      <c r="AB17" s="1178"/>
      <c r="AC17" s="1178"/>
      <c r="AD17" s="1178"/>
      <c r="AE17" s="1178"/>
      <c r="AF17" s="1382"/>
    </row>
    <row r="18" spans="1:32" ht="15">
      <c r="A18" s="15"/>
      <c r="B18" s="1087"/>
      <c r="C18" s="1087"/>
      <c r="D18" s="1087"/>
      <c r="E18" s="1087"/>
      <c r="F18" s="15"/>
      <c r="G18" s="1087"/>
      <c r="H18" s="1087"/>
      <c r="I18" s="1087"/>
      <c r="J18" s="1087"/>
      <c r="K18" s="1087"/>
      <c r="L18" s="1087"/>
      <c r="M18" s="1087"/>
      <c r="N18" s="1087"/>
      <c r="O18" s="1087"/>
      <c r="P18" s="1087"/>
      <c r="Q18" s="1087"/>
      <c r="R18" s="1087"/>
      <c r="S18" s="1087"/>
      <c r="T18" s="1087"/>
      <c r="U18" s="1087"/>
      <c r="V18" s="1087"/>
      <c r="W18" s="15"/>
      <c r="X18" s="15"/>
      <c r="Y18" s="15"/>
      <c r="Z18" s="15"/>
      <c r="AA18" s="15"/>
      <c r="AB18" s="1178"/>
      <c r="AC18" s="1178"/>
      <c r="AD18" s="1178"/>
      <c r="AE18" s="1178"/>
      <c r="AF18" s="1382"/>
    </row>
    <row r="19" spans="1:32" ht="15.75">
      <c r="A19" s="1086">
        <v>3050</v>
      </c>
      <c r="B19" s="99" t="s">
        <v>352</v>
      </c>
      <c r="C19" s="1087"/>
      <c r="D19" s="1087"/>
      <c r="E19" s="1087" t="s">
        <v>1506</v>
      </c>
      <c r="F19" s="15"/>
      <c r="G19" s="1087"/>
      <c r="H19" s="1087"/>
      <c r="I19" s="1087"/>
      <c r="J19" s="1087"/>
      <c r="K19" s="1087"/>
      <c r="L19" s="1087"/>
      <c r="M19" s="1087"/>
      <c r="N19" s="1087"/>
      <c r="O19" s="1087"/>
      <c r="P19" s="1087"/>
      <c r="Q19" s="1087"/>
      <c r="R19" s="1087"/>
      <c r="S19" s="1087"/>
      <c r="T19" s="1087"/>
      <c r="U19" s="1087"/>
      <c r="V19" s="1087"/>
      <c r="W19" s="15"/>
      <c r="X19" s="15"/>
      <c r="Y19" s="15"/>
      <c r="Z19" s="15"/>
      <c r="AA19" s="15"/>
      <c r="AB19" s="15"/>
      <c r="AC19" s="15"/>
      <c r="AD19" s="15"/>
      <c r="AE19" s="15"/>
      <c r="AF19" s="684"/>
    </row>
    <row r="20" spans="1:32" ht="15.75">
      <c r="A20" s="1086">
        <v>3060</v>
      </c>
      <c r="B20" s="99" t="s">
        <v>1492</v>
      </c>
      <c r="C20" s="1087"/>
      <c r="D20" s="1087"/>
      <c r="E20" s="1087" t="s">
        <v>1507</v>
      </c>
      <c r="F20" s="15"/>
      <c r="G20" s="1087"/>
      <c r="H20" s="1087"/>
      <c r="I20" s="1087"/>
      <c r="J20" s="1087"/>
      <c r="K20" s="1087"/>
      <c r="L20" s="1087"/>
      <c r="M20" s="1087"/>
      <c r="N20" s="1087"/>
      <c r="O20" s="1087"/>
      <c r="P20" s="1087"/>
      <c r="Q20" s="1087"/>
      <c r="R20" s="1087"/>
      <c r="S20" s="1087"/>
      <c r="T20" s="1087"/>
      <c r="U20" s="1087"/>
      <c r="V20" s="1087"/>
      <c r="W20" s="15"/>
      <c r="X20" s="15"/>
      <c r="Y20" s="15"/>
      <c r="Z20" s="15"/>
      <c r="AA20" s="15"/>
      <c r="AB20" s="15"/>
      <c r="AC20" s="15"/>
      <c r="AD20" s="15"/>
      <c r="AE20" s="15"/>
      <c r="AF20" s="684"/>
    </row>
    <row r="21" spans="1:32" ht="15.75">
      <c r="A21" s="1086"/>
      <c r="B21" s="99"/>
      <c r="C21" s="1087"/>
      <c r="D21" s="1087"/>
      <c r="E21" s="1087"/>
      <c r="F21" s="15"/>
      <c r="G21" s="1087"/>
      <c r="H21" s="1087"/>
      <c r="I21" s="1087"/>
      <c r="J21" s="1087"/>
      <c r="K21" s="1087"/>
      <c r="L21" s="1087"/>
      <c r="M21" s="1087"/>
      <c r="N21" s="1087"/>
      <c r="O21" s="1087"/>
      <c r="P21" s="1087"/>
      <c r="Q21" s="1087"/>
      <c r="R21" s="1087"/>
      <c r="S21" s="1087"/>
      <c r="T21" s="1087"/>
      <c r="U21" s="1087"/>
      <c r="V21" s="1087"/>
      <c r="W21" s="15"/>
      <c r="X21" s="15"/>
      <c r="Y21" s="15"/>
      <c r="Z21" s="15"/>
      <c r="AA21" s="15"/>
      <c r="AB21" s="15"/>
      <c r="AC21" s="15"/>
      <c r="AD21" s="15"/>
      <c r="AE21" s="15"/>
      <c r="AF21" s="684"/>
    </row>
    <row r="22" spans="1:32" ht="15">
      <c r="C22" s="1087"/>
      <c r="D22" s="1087"/>
      <c r="E22" s="1087" t="s">
        <v>1504</v>
      </c>
      <c r="F22" s="15"/>
      <c r="G22" s="1087"/>
      <c r="H22" s="1087"/>
      <c r="I22" s="1087"/>
      <c r="J22" s="1087"/>
      <c r="K22" s="1087"/>
      <c r="L22" s="1087"/>
      <c r="M22" s="1087"/>
      <c r="N22" s="1087"/>
      <c r="O22" s="1087"/>
      <c r="P22" s="1087"/>
      <c r="Q22" s="1087"/>
      <c r="R22" s="1087"/>
      <c r="S22" s="1087"/>
      <c r="T22" s="1087"/>
      <c r="U22" s="1087"/>
      <c r="V22" s="1087"/>
      <c r="W22" s="15"/>
      <c r="X22" s="15"/>
      <c r="Y22" s="15"/>
      <c r="Z22" s="15"/>
      <c r="AA22" s="15"/>
      <c r="AB22" s="15"/>
      <c r="AC22" s="15"/>
      <c r="AD22" s="15"/>
      <c r="AE22" s="15"/>
      <c r="AF22" s="684"/>
    </row>
    <row r="23" spans="1:32" ht="15">
      <c r="C23" s="1087"/>
      <c r="D23" s="1087"/>
      <c r="E23" s="1087" t="s">
        <v>1508</v>
      </c>
      <c r="F23" s="15"/>
      <c r="G23" s="1087"/>
      <c r="H23" s="1087"/>
      <c r="I23" s="1087"/>
      <c r="J23" s="1087"/>
      <c r="K23" s="1087"/>
      <c r="L23" s="1087"/>
      <c r="M23" s="1087"/>
      <c r="N23" s="1087"/>
      <c r="O23" s="1087"/>
      <c r="P23" s="1087"/>
      <c r="Q23" s="1087"/>
      <c r="R23" s="1087"/>
      <c r="S23" s="1087"/>
      <c r="T23" s="1087"/>
      <c r="U23" s="1087"/>
      <c r="V23" s="1087"/>
      <c r="W23" s="15"/>
      <c r="X23" s="15"/>
      <c r="Y23" s="15"/>
      <c r="Z23" s="15"/>
      <c r="AA23" s="15"/>
      <c r="AB23" s="15"/>
      <c r="AC23" s="15"/>
      <c r="AD23" s="15"/>
      <c r="AE23" s="15"/>
      <c r="AF23" s="684"/>
    </row>
    <row r="24" spans="1:32" ht="15.75">
      <c r="A24" s="1086"/>
      <c r="B24" s="99"/>
      <c r="C24" s="1087"/>
      <c r="D24" s="1087"/>
      <c r="E24" s="1087" t="s">
        <v>1513</v>
      </c>
      <c r="F24" s="15"/>
      <c r="G24" s="1087"/>
      <c r="H24" s="1087"/>
      <c r="I24" s="1087"/>
      <c r="J24" s="1087"/>
      <c r="K24" s="1087"/>
      <c r="L24" s="1087"/>
      <c r="M24" s="1087"/>
      <c r="N24" s="1087"/>
      <c r="O24" s="1087"/>
      <c r="P24" s="1087"/>
      <c r="Q24" s="1087"/>
      <c r="R24" s="1087"/>
      <c r="S24" s="1087"/>
      <c r="T24" s="1087"/>
      <c r="U24" s="1087"/>
      <c r="V24" s="1087"/>
      <c r="W24" s="15"/>
      <c r="X24" s="15"/>
      <c r="Y24" s="15"/>
      <c r="Z24" s="15"/>
      <c r="AA24" s="15"/>
      <c r="AB24" s="15"/>
      <c r="AC24" s="15"/>
      <c r="AD24" s="15"/>
      <c r="AE24" s="15"/>
      <c r="AF24" s="684"/>
    </row>
    <row r="25" spans="1:32" ht="15.75">
      <c r="B25" s="99"/>
      <c r="C25" s="1087"/>
      <c r="D25" s="1087"/>
      <c r="E25" s="1087" t="s">
        <v>1500</v>
      </c>
      <c r="W25" s="15"/>
      <c r="X25" s="15"/>
      <c r="Y25" s="15"/>
      <c r="Z25" s="15"/>
      <c r="AA25" s="15"/>
      <c r="AB25" s="15"/>
      <c r="AC25" s="15"/>
      <c r="AD25" s="15"/>
      <c r="AE25" s="15"/>
      <c r="AF25" s="684"/>
    </row>
    <row r="26" spans="1:32" ht="15.75">
      <c r="A26" s="1086"/>
      <c r="B26" s="99"/>
      <c r="C26" s="1087"/>
      <c r="D26" s="1087"/>
      <c r="E26" s="1087" t="s">
        <v>1509</v>
      </c>
      <c r="F26" s="15"/>
      <c r="G26" s="1087"/>
      <c r="H26" s="1087"/>
      <c r="I26" s="1087"/>
      <c r="J26" s="1087"/>
      <c r="K26" s="1087"/>
      <c r="L26" s="1087"/>
      <c r="M26" s="1087"/>
      <c r="N26" s="1087"/>
      <c r="O26" s="1087"/>
      <c r="P26" s="1087"/>
      <c r="Q26" s="1087"/>
      <c r="R26" s="1087"/>
      <c r="S26" s="1087"/>
      <c r="T26" s="1087"/>
      <c r="U26" s="1087"/>
      <c r="V26" s="1087"/>
      <c r="W26" s="15"/>
      <c r="X26" s="15"/>
      <c r="Y26" s="15"/>
      <c r="Z26" s="15"/>
      <c r="AA26" s="15"/>
      <c r="AB26" s="15"/>
      <c r="AC26" s="15"/>
      <c r="AD26" s="15"/>
      <c r="AE26" s="15"/>
      <c r="AF26" s="684"/>
    </row>
    <row r="27" spans="1:32" ht="15.75">
      <c r="A27" s="1086"/>
      <c r="B27" s="99"/>
      <c r="C27" s="1087"/>
      <c r="D27" s="1087"/>
      <c r="E27" s="1087"/>
      <c r="F27" s="15"/>
      <c r="G27" s="1087"/>
      <c r="H27" s="1087"/>
      <c r="I27" s="1087"/>
      <c r="J27" s="1087"/>
      <c r="K27" s="1087"/>
      <c r="L27" s="1087"/>
      <c r="M27" s="1087"/>
      <c r="N27" s="1087"/>
      <c r="O27" s="1087"/>
      <c r="P27" s="1087"/>
      <c r="Q27" s="1087"/>
      <c r="R27" s="1087"/>
      <c r="S27" s="1087"/>
      <c r="T27" s="1087"/>
      <c r="U27" s="1087"/>
      <c r="V27" s="1087"/>
      <c r="W27" s="15"/>
      <c r="X27" s="15"/>
      <c r="Y27" s="15"/>
      <c r="Z27" s="15"/>
      <c r="AA27" s="15"/>
      <c r="AB27" s="15"/>
      <c r="AC27" s="15"/>
      <c r="AD27" s="15"/>
      <c r="AE27" s="15"/>
      <c r="AF27" s="684"/>
    </row>
    <row r="28" spans="1:32" ht="15.75">
      <c r="A28" s="1086"/>
      <c r="B28" s="99"/>
      <c r="C28" s="1087"/>
      <c r="D28" s="1087"/>
      <c r="E28" s="1087" t="s">
        <v>1510</v>
      </c>
      <c r="F28" s="15"/>
      <c r="G28" s="1087"/>
      <c r="H28" s="1087"/>
      <c r="I28" s="1087"/>
      <c r="J28" s="1087"/>
      <c r="K28" s="1087"/>
      <c r="L28" s="1087"/>
      <c r="M28" s="1087"/>
      <c r="N28" s="1087"/>
      <c r="O28" s="1087"/>
      <c r="P28" s="1087"/>
      <c r="Q28" s="1087"/>
      <c r="R28" s="1087"/>
      <c r="S28" s="1087"/>
      <c r="T28" s="1087"/>
      <c r="U28" s="1087"/>
      <c r="V28" s="1087"/>
      <c r="W28" s="15"/>
      <c r="X28" s="15"/>
      <c r="Y28" s="15"/>
      <c r="Z28" s="15"/>
      <c r="AA28" s="15"/>
      <c r="AB28" s="15"/>
      <c r="AC28" s="15"/>
      <c r="AD28" s="15"/>
      <c r="AE28" s="15"/>
      <c r="AF28" s="684"/>
    </row>
    <row r="29" spans="1:32" ht="15.75">
      <c r="A29" s="1086"/>
      <c r="B29" s="99"/>
      <c r="C29" s="1087"/>
      <c r="D29" s="1087"/>
      <c r="E29" s="1087" t="s">
        <v>1511</v>
      </c>
      <c r="F29" s="15"/>
      <c r="G29" s="1087"/>
      <c r="H29" s="1087"/>
      <c r="I29" s="1087"/>
      <c r="J29" s="1087"/>
      <c r="K29" s="1087"/>
      <c r="L29" s="1087"/>
      <c r="M29" s="1087"/>
      <c r="N29" s="1087"/>
      <c r="O29" s="1087"/>
      <c r="P29" s="1087"/>
      <c r="Q29" s="1087"/>
      <c r="R29" s="1087"/>
      <c r="S29" s="1087"/>
      <c r="T29" s="1087"/>
      <c r="U29" s="1087"/>
      <c r="V29" s="1087"/>
      <c r="W29" s="15"/>
      <c r="X29" s="15"/>
      <c r="Y29" s="15"/>
      <c r="Z29" s="15"/>
      <c r="AA29" s="15"/>
      <c r="AB29" s="15"/>
      <c r="AC29" s="15"/>
      <c r="AD29" s="15"/>
      <c r="AE29" s="15"/>
      <c r="AF29" s="684"/>
    </row>
    <row r="30" spans="1:32" ht="15">
      <c r="A30" s="15"/>
      <c r="B30" s="1087"/>
      <c r="C30" s="1087"/>
      <c r="D30" s="1087"/>
      <c r="E30" s="1087" t="s">
        <v>1512</v>
      </c>
      <c r="F30" s="15"/>
      <c r="G30" s="1087"/>
      <c r="H30" s="1087"/>
      <c r="I30" s="1087"/>
      <c r="J30" s="1087"/>
      <c r="K30" s="1087"/>
      <c r="L30" s="1087"/>
      <c r="M30" s="1087"/>
      <c r="N30" s="1087"/>
      <c r="O30" s="1087"/>
      <c r="P30" s="1087"/>
      <c r="Q30" s="1087"/>
      <c r="R30" s="1087"/>
      <c r="S30" s="1087"/>
      <c r="T30" s="1087"/>
      <c r="U30" s="1087"/>
      <c r="V30" s="1087"/>
      <c r="W30" s="15"/>
      <c r="X30" s="15"/>
      <c r="Y30" s="15"/>
      <c r="Z30" s="15"/>
      <c r="AA30" s="15"/>
      <c r="AB30" s="15"/>
      <c r="AC30" s="15"/>
      <c r="AD30" s="15"/>
      <c r="AE30" s="15"/>
      <c r="AF30" s="684"/>
    </row>
    <row r="31" spans="1:32" ht="15">
      <c r="A31" s="1086"/>
      <c r="B31" s="1087"/>
      <c r="C31" s="1087"/>
      <c r="D31" s="1087"/>
      <c r="E31" s="1087" t="s">
        <v>353</v>
      </c>
      <c r="F31" s="15"/>
      <c r="G31" s="1087"/>
      <c r="H31" s="1087"/>
      <c r="I31" s="1087"/>
      <c r="J31" s="1087"/>
      <c r="K31" s="1087"/>
      <c r="L31" s="1087"/>
      <c r="M31" s="1087"/>
      <c r="N31" s="1087"/>
      <c r="O31" s="1087"/>
      <c r="P31" s="1087"/>
      <c r="Q31" s="1087"/>
      <c r="R31" s="1087"/>
      <c r="S31" s="1087"/>
      <c r="T31" s="1087"/>
      <c r="U31" s="1087"/>
      <c r="V31" s="1087"/>
      <c r="W31" s="15"/>
      <c r="X31" s="15"/>
      <c r="Y31" s="15"/>
      <c r="Z31" s="15"/>
      <c r="AA31" s="15"/>
      <c r="AB31" s="15"/>
      <c r="AC31" s="15"/>
      <c r="AD31" s="15"/>
      <c r="AE31" s="15"/>
      <c r="AF31" s="684"/>
    </row>
    <row r="32" spans="1:32" ht="15">
      <c r="A32" s="1086"/>
      <c r="B32" s="1087"/>
      <c r="C32" s="1087"/>
      <c r="D32" s="1087"/>
      <c r="E32" s="1087" t="s">
        <v>1499</v>
      </c>
      <c r="F32" s="15"/>
      <c r="G32" s="1087"/>
      <c r="H32" s="1087"/>
      <c r="I32" s="1087"/>
      <c r="J32" s="1087"/>
      <c r="K32" s="1087"/>
      <c r="L32" s="1087"/>
      <c r="M32" s="1087"/>
      <c r="N32" s="1087"/>
      <c r="O32" s="1087"/>
      <c r="P32" s="1087"/>
      <c r="Q32" s="1087"/>
      <c r="R32" s="1087"/>
      <c r="S32" s="1087"/>
      <c r="T32" s="1087"/>
      <c r="U32" s="1087"/>
      <c r="V32" s="1087"/>
      <c r="W32" s="15"/>
      <c r="X32" s="15"/>
      <c r="Y32" s="15"/>
      <c r="Z32" s="15"/>
      <c r="AA32" s="15"/>
      <c r="AB32" s="15"/>
      <c r="AC32" s="15"/>
      <c r="AD32" s="15"/>
      <c r="AE32" s="15"/>
      <c r="AF32" s="684"/>
    </row>
    <row r="33" spans="1:32" ht="15">
      <c r="A33" s="1086"/>
      <c r="B33" s="1087"/>
      <c r="C33" s="1087"/>
      <c r="D33" s="1087"/>
      <c r="F33" s="15"/>
      <c r="G33" s="1087"/>
      <c r="H33" s="1087"/>
      <c r="I33" s="1087"/>
      <c r="J33" s="1087"/>
      <c r="K33" s="1087"/>
      <c r="L33" s="1087"/>
      <c r="M33" s="1087"/>
      <c r="N33" s="1087"/>
      <c r="O33" s="1087"/>
      <c r="P33" s="1087"/>
      <c r="Q33" s="1087"/>
      <c r="R33" s="1087"/>
      <c r="S33" s="1087"/>
      <c r="T33" s="1087"/>
      <c r="U33" s="1087"/>
      <c r="V33" s="1087"/>
      <c r="W33" s="15"/>
      <c r="X33" s="15"/>
      <c r="Y33" s="15"/>
      <c r="Z33" s="15"/>
      <c r="AA33" s="15"/>
      <c r="AB33" s="15"/>
      <c r="AC33" s="15"/>
      <c r="AD33" s="15"/>
      <c r="AE33" s="15"/>
      <c r="AF33" s="684"/>
    </row>
    <row r="34" spans="1:32" ht="15.75">
      <c r="A34" s="1086">
        <v>3120</v>
      </c>
      <c r="B34" s="99" t="s">
        <v>354</v>
      </c>
      <c r="C34" s="1087"/>
      <c r="D34" s="1087"/>
      <c r="E34" s="1087" t="s">
        <v>355</v>
      </c>
      <c r="F34" s="15"/>
      <c r="G34" s="1087"/>
      <c r="H34" s="1087"/>
      <c r="I34" s="1087"/>
      <c r="J34" s="1087"/>
      <c r="K34" s="1087"/>
      <c r="L34" s="1087"/>
      <c r="M34" s="1087"/>
      <c r="N34" s="1087"/>
      <c r="O34" s="1087"/>
      <c r="P34" s="1087"/>
      <c r="Q34" s="1087"/>
      <c r="R34" s="1087"/>
      <c r="S34" s="1087"/>
      <c r="T34" s="1087"/>
      <c r="U34" s="1087"/>
      <c r="V34" s="1087"/>
      <c r="W34" s="15"/>
      <c r="X34" s="15"/>
      <c r="Y34" s="15"/>
      <c r="Z34" s="15"/>
      <c r="AA34" s="15"/>
      <c r="AB34" s="15"/>
      <c r="AC34" s="15"/>
      <c r="AD34" s="15"/>
      <c r="AE34" s="15"/>
      <c r="AF34" s="684"/>
    </row>
    <row r="35" spans="1:32" ht="15.75">
      <c r="A35" s="1086"/>
      <c r="B35" s="99" t="s">
        <v>356</v>
      </c>
      <c r="C35" s="1087"/>
      <c r="D35" s="1087"/>
      <c r="E35" s="1087" t="s">
        <v>357</v>
      </c>
      <c r="F35" s="15"/>
      <c r="G35" s="1087"/>
      <c r="H35" s="1087"/>
      <c r="I35" s="1087"/>
      <c r="J35" s="1087"/>
      <c r="K35" s="1087"/>
      <c r="L35" s="1087"/>
      <c r="M35" s="1087"/>
      <c r="N35" s="1087"/>
      <c r="O35" s="1087"/>
      <c r="P35" s="1087"/>
      <c r="Q35" s="1087"/>
      <c r="R35" s="1087"/>
      <c r="S35" s="1087"/>
      <c r="T35" s="1087"/>
      <c r="U35" s="1087"/>
      <c r="V35" s="1087"/>
      <c r="W35" s="15"/>
      <c r="X35" s="15"/>
      <c r="Y35" s="15"/>
      <c r="Z35" s="15"/>
      <c r="AA35" s="15"/>
      <c r="AB35" s="15"/>
      <c r="AC35" s="15"/>
      <c r="AD35" s="15"/>
      <c r="AE35" s="15"/>
      <c r="AF35" s="684"/>
    </row>
    <row r="36" spans="1:32" ht="15">
      <c r="A36" s="1086"/>
      <c r="B36" s="1087"/>
      <c r="C36" s="1087"/>
      <c r="D36" s="1087"/>
      <c r="E36" s="1087" t="s">
        <v>358</v>
      </c>
      <c r="F36" s="15"/>
      <c r="G36" s="1087"/>
      <c r="H36" s="1087"/>
      <c r="I36" s="1087"/>
      <c r="J36" s="1087"/>
      <c r="K36" s="1087"/>
      <c r="L36" s="1087"/>
      <c r="M36" s="1087"/>
      <c r="N36" s="1087"/>
      <c r="O36" s="1087"/>
      <c r="P36" s="1087"/>
      <c r="Q36" s="1087"/>
      <c r="R36" s="1087"/>
      <c r="S36" s="1087"/>
      <c r="T36" s="1087"/>
      <c r="U36" s="1087"/>
      <c r="V36" s="1087"/>
      <c r="W36" s="15"/>
      <c r="X36" s="15"/>
      <c r="Y36" s="15"/>
      <c r="Z36" s="15"/>
      <c r="AA36" s="15"/>
      <c r="AB36" s="15"/>
      <c r="AC36" s="15"/>
      <c r="AD36" s="15"/>
      <c r="AE36" s="15"/>
      <c r="AF36" s="684"/>
    </row>
    <row r="37" spans="1:32" ht="15">
      <c r="A37" s="1086"/>
      <c r="B37" s="1087"/>
      <c r="C37" s="1087"/>
      <c r="D37" s="1087"/>
      <c r="E37" s="1087" t="s">
        <v>1516</v>
      </c>
      <c r="F37" s="15"/>
      <c r="G37" s="1087"/>
      <c r="H37" s="1087"/>
      <c r="I37" s="1087"/>
      <c r="J37" s="1087"/>
      <c r="K37" s="1087"/>
      <c r="L37" s="1087"/>
      <c r="M37" s="1087"/>
      <c r="N37" s="1087"/>
      <c r="O37" s="1087"/>
      <c r="P37" s="1087"/>
      <c r="Q37" s="1087"/>
      <c r="R37" s="1087"/>
      <c r="S37" s="1087"/>
      <c r="T37" s="1087"/>
      <c r="U37" s="1087"/>
      <c r="V37" s="1087"/>
      <c r="W37" s="15"/>
      <c r="X37" s="15"/>
      <c r="Y37" s="15"/>
      <c r="Z37" s="15"/>
      <c r="AA37" s="15"/>
      <c r="AB37" s="15"/>
      <c r="AC37" s="15"/>
      <c r="AD37" s="15"/>
      <c r="AE37" s="15"/>
      <c r="AF37" s="684"/>
    </row>
    <row r="38" spans="1:32" ht="15">
      <c r="A38" s="1086"/>
      <c r="B38" s="1087"/>
      <c r="C38" s="1087"/>
      <c r="D38" s="1087"/>
      <c r="E38" s="1087"/>
      <c r="F38" s="15"/>
      <c r="G38" s="1087"/>
      <c r="H38" s="1087"/>
      <c r="I38" s="1087"/>
      <c r="J38" s="1087"/>
      <c r="K38" s="1087"/>
      <c r="L38" s="1087"/>
      <c r="M38" s="1087"/>
      <c r="N38" s="1087"/>
      <c r="O38" s="1087"/>
      <c r="P38" s="1087"/>
      <c r="Q38" s="1087"/>
      <c r="R38" s="1087"/>
      <c r="S38" s="1087"/>
      <c r="T38" s="1087"/>
      <c r="U38" s="1087"/>
      <c r="V38" s="1087"/>
      <c r="W38" s="15"/>
      <c r="X38" s="15"/>
      <c r="Y38" s="15"/>
      <c r="Z38" s="15"/>
      <c r="AA38" s="15"/>
      <c r="AB38" s="15"/>
      <c r="AC38" s="15"/>
      <c r="AD38" s="15"/>
      <c r="AE38" s="15"/>
      <c r="AF38" s="684"/>
    </row>
    <row r="39" spans="1:32" ht="15.75">
      <c r="A39" s="1086">
        <v>3140</v>
      </c>
      <c r="B39" s="99" t="s">
        <v>359</v>
      </c>
      <c r="C39" s="303"/>
      <c r="D39" s="303"/>
      <c r="E39" s="1087" t="s">
        <v>360</v>
      </c>
      <c r="F39" s="15"/>
      <c r="G39" s="1087"/>
      <c r="H39" s="1087"/>
      <c r="I39" s="1087"/>
      <c r="J39" s="1087"/>
      <c r="K39" s="1087"/>
      <c r="L39" s="1087"/>
      <c r="M39" s="1087"/>
      <c r="N39" s="1087"/>
      <c r="O39" s="1087"/>
      <c r="P39" s="1087"/>
      <c r="Q39" s="1087"/>
      <c r="R39" s="1087"/>
      <c r="S39" s="1087"/>
      <c r="T39" s="1087"/>
      <c r="U39" s="1087"/>
      <c r="V39" s="1087"/>
      <c r="W39" s="15"/>
      <c r="X39" s="15"/>
      <c r="Y39" s="15"/>
      <c r="Z39" s="15"/>
      <c r="AA39" s="15"/>
      <c r="AB39" s="15"/>
      <c r="AC39" s="15"/>
      <c r="AD39" s="15"/>
      <c r="AE39" s="15"/>
      <c r="AF39" s="684"/>
    </row>
    <row r="40" spans="1:32" ht="15.75">
      <c r="A40" s="1086"/>
      <c r="B40" s="303"/>
      <c r="C40" s="303"/>
      <c r="D40" s="303"/>
      <c r="E40" s="1087" t="s">
        <v>361</v>
      </c>
      <c r="F40" s="15"/>
      <c r="G40" s="1087"/>
      <c r="H40" s="1087"/>
      <c r="I40" s="1087"/>
      <c r="J40" s="1087"/>
      <c r="K40" s="1087"/>
      <c r="L40" s="1087"/>
      <c r="M40" s="1087"/>
      <c r="N40" s="1087"/>
      <c r="O40" s="1087"/>
      <c r="P40" s="1087"/>
      <c r="Q40" s="1087"/>
      <c r="R40" s="1087"/>
      <c r="S40" s="1087"/>
      <c r="T40" s="1087"/>
      <c r="U40" s="1087"/>
      <c r="V40" s="1087"/>
      <c r="W40" s="15"/>
      <c r="X40" s="15"/>
      <c r="Y40" s="15"/>
      <c r="Z40" s="15"/>
      <c r="AA40" s="15"/>
      <c r="AB40" s="15"/>
      <c r="AC40" s="15"/>
      <c r="AD40" s="15"/>
      <c r="AE40" s="15"/>
      <c r="AF40" s="684"/>
    </row>
    <row r="41" spans="1:32" ht="15.75">
      <c r="A41" s="1086"/>
      <c r="B41" s="303"/>
      <c r="C41" s="303"/>
      <c r="D41" s="303"/>
      <c r="E41" s="1087" t="s">
        <v>1501</v>
      </c>
      <c r="F41" s="15"/>
      <c r="G41" s="1087"/>
      <c r="H41" s="1087"/>
      <c r="I41" s="1087"/>
      <c r="J41" s="1087"/>
      <c r="K41" s="1087"/>
      <c r="L41" s="1087"/>
      <c r="M41" s="1087"/>
      <c r="N41" s="1087"/>
      <c r="O41" s="1087"/>
      <c r="P41" s="1087"/>
      <c r="Q41" s="1087"/>
      <c r="R41" s="1087"/>
      <c r="S41" s="1087"/>
      <c r="T41" s="1087"/>
      <c r="U41" s="1087"/>
      <c r="V41" s="1087"/>
      <c r="W41" s="15"/>
      <c r="X41" s="15"/>
      <c r="Y41" s="15"/>
      <c r="Z41" s="15"/>
      <c r="AA41" s="15"/>
      <c r="AB41" s="15"/>
      <c r="AC41" s="15"/>
      <c r="AD41" s="15"/>
      <c r="AE41" s="15"/>
      <c r="AF41" s="684"/>
    </row>
    <row r="42" spans="1:32" ht="15.75">
      <c r="A42" s="1086"/>
      <c r="B42" s="303"/>
      <c r="C42" s="303"/>
      <c r="D42" s="303"/>
      <c r="E42" s="1087" t="s">
        <v>1503</v>
      </c>
      <c r="F42" s="15"/>
      <c r="G42" s="1087"/>
      <c r="H42" s="1087"/>
      <c r="I42" s="1087"/>
      <c r="J42" s="1087"/>
      <c r="K42" s="1087"/>
      <c r="L42" s="1087"/>
      <c r="M42" s="1087"/>
      <c r="N42" s="1087"/>
      <c r="O42" s="1087"/>
      <c r="P42" s="1087"/>
      <c r="Q42" s="1087"/>
      <c r="R42" s="1087"/>
      <c r="S42" s="1087"/>
      <c r="T42" s="1087"/>
      <c r="U42" s="1087"/>
      <c r="V42" s="1087"/>
      <c r="W42" s="15"/>
      <c r="X42" s="15"/>
      <c r="Y42" s="15"/>
      <c r="Z42" s="15"/>
      <c r="AA42" s="15"/>
      <c r="AB42" s="15"/>
      <c r="AC42" s="15"/>
      <c r="AD42" s="15"/>
      <c r="AE42" s="15"/>
      <c r="AF42" s="684"/>
    </row>
    <row r="43" spans="1:32" ht="15.75">
      <c r="A43" s="1086"/>
      <c r="B43" s="303"/>
      <c r="C43" s="1087"/>
      <c r="D43" s="1087"/>
      <c r="E43" s="1087" t="s">
        <v>351</v>
      </c>
      <c r="F43" s="15"/>
      <c r="G43" s="1090"/>
      <c r="H43" s="1090"/>
      <c r="I43" s="1090"/>
      <c r="J43" s="1090"/>
      <c r="K43" s="1090"/>
      <c r="L43" s="1090"/>
      <c r="M43" s="1090"/>
      <c r="N43" s="1090"/>
      <c r="O43" s="1090"/>
      <c r="P43" s="1090"/>
      <c r="Q43" s="1090"/>
      <c r="R43" s="1090"/>
      <c r="S43" s="1090"/>
      <c r="T43" s="1090"/>
      <c r="U43" s="1087"/>
      <c r="V43" s="1087"/>
      <c r="W43" s="15"/>
      <c r="X43" s="15"/>
      <c r="Y43" s="15"/>
      <c r="Z43" s="15"/>
      <c r="AA43" s="15"/>
      <c r="AB43" s="15"/>
      <c r="AC43" s="15"/>
      <c r="AD43" s="15"/>
      <c r="AE43" s="15"/>
      <c r="AF43" s="684"/>
    </row>
    <row r="44" spans="1:32" ht="15.75">
      <c r="A44" s="1086"/>
      <c r="B44" s="303"/>
      <c r="C44" s="1087"/>
      <c r="D44" s="1087"/>
      <c r="E44" s="1087" t="s">
        <v>1499</v>
      </c>
      <c r="F44" s="15"/>
      <c r="G44" s="1090"/>
      <c r="H44" s="1090"/>
      <c r="I44" s="1090"/>
      <c r="J44" s="1090"/>
      <c r="K44" s="1090"/>
      <c r="L44" s="1090"/>
      <c r="M44" s="1090"/>
      <c r="N44" s="1090"/>
      <c r="O44" s="1087"/>
      <c r="P44" s="1090"/>
      <c r="Q44" s="1090"/>
      <c r="R44" s="1090"/>
      <c r="S44" s="1090"/>
      <c r="T44" s="1090"/>
      <c r="U44" s="1087"/>
      <c r="V44" s="1087"/>
      <c r="W44" s="15"/>
      <c r="X44" s="15"/>
      <c r="Y44" s="15"/>
      <c r="Z44" s="15"/>
      <c r="AA44" s="15"/>
      <c r="AB44" s="15"/>
      <c r="AC44" s="15"/>
      <c r="AD44" s="15"/>
      <c r="AE44" s="15"/>
      <c r="AF44" s="684"/>
    </row>
    <row r="45" spans="1:32" ht="15">
      <c r="A45" s="1086"/>
      <c r="B45" s="1087"/>
      <c r="C45" s="1087"/>
      <c r="D45" s="1087"/>
      <c r="E45" s="1087"/>
      <c r="F45" s="15"/>
      <c r="G45" s="1087"/>
      <c r="H45" s="1087"/>
      <c r="I45" s="1087"/>
      <c r="J45" s="1087"/>
      <c r="K45" s="1087"/>
      <c r="L45" s="1087"/>
      <c r="M45" s="1087"/>
      <c r="N45" s="1087"/>
      <c r="O45" s="1087"/>
      <c r="P45" s="1087"/>
      <c r="Q45" s="1087"/>
      <c r="R45" s="1087"/>
      <c r="S45" s="1087"/>
      <c r="T45" s="1087"/>
      <c r="U45" s="1087"/>
      <c r="V45" s="1087"/>
      <c r="W45" s="15"/>
      <c r="X45" s="15"/>
      <c r="Y45" s="15"/>
      <c r="Z45" s="15"/>
      <c r="AA45" s="15"/>
      <c r="AB45" s="15"/>
      <c r="AC45" s="15"/>
      <c r="AD45" s="15"/>
      <c r="AE45" s="15"/>
      <c r="AF45" s="684"/>
    </row>
    <row r="46" spans="1:32" ht="15.75">
      <c r="A46" s="1086">
        <v>3160</v>
      </c>
      <c r="B46" s="99" t="s">
        <v>364</v>
      </c>
      <c r="C46" s="1087"/>
      <c r="D46" s="1087"/>
      <c r="E46" s="1087" t="s">
        <v>1439</v>
      </c>
      <c r="F46" s="15"/>
      <c r="G46" s="1087"/>
      <c r="H46" s="1087"/>
      <c r="I46" s="1087"/>
      <c r="J46" s="1087"/>
      <c r="K46" s="1087"/>
      <c r="L46" s="1087"/>
      <c r="M46" s="1087"/>
      <c r="N46" s="1087"/>
      <c r="O46" s="1087"/>
      <c r="P46" s="1087"/>
      <c r="Q46" s="1087"/>
      <c r="R46" s="1087"/>
      <c r="S46" s="1087"/>
      <c r="T46" s="1087"/>
      <c r="U46" s="1087"/>
      <c r="V46" s="1087"/>
      <c r="W46" s="15"/>
      <c r="X46" s="15"/>
      <c r="Y46" s="15"/>
      <c r="Z46" s="15"/>
      <c r="AA46" s="15"/>
      <c r="AB46" s="15"/>
      <c r="AC46" s="15"/>
      <c r="AD46" s="15"/>
      <c r="AE46" s="15"/>
      <c r="AF46" s="684"/>
    </row>
    <row r="47" spans="1:32" ht="15.75">
      <c r="A47" s="1086"/>
      <c r="B47" s="303"/>
      <c r="C47" s="1087"/>
      <c r="D47" s="1087"/>
      <c r="E47" s="1087" t="s">
        <v>1440</v>
      </c>
      <c r="F47" s="15"/>
      <c r="G47" s="1087"/>
      <c r="H47" s="1087"/>
      <c r="I47" s="1087"/>
      <c r="J47" s="1087"/>
      <c r="K47" s="1087"/>
      <c r="L47" s="1087"/>
      <c r="M47" s="1087"/>
      <c r="N47" s="1087"/>
      <c r="O47" s="1087"/>
      <c r="P47" s="1087"/>
      <c r="Q47" s="1087"/>
      <c r="R47" s="1087"/>
      <c r="S47" s="1087"/>
      <c r="T47" s="1087"/>
      <c r="U47" s="1087"/>
      <c r="V47" s="1087"/>
      <c r="W47" s="15"/>
      <c r="X47" s="15"/>
      <c r="Y47" s="15"/>
      <c r="Z47" s="15"/>
      <c r="AA47" s="15"/>
      <c r="AB47" s="15"/>
      <c r="AC47" s="15"/>
      <c r="AD47" s="15"/>
      <c r="AE47" s="15"/>
      <c r="AF47" s="684"/>
    </row>
    <row r="48" spans="1:32" ht="15.75">
      <c r="A48" s="1086"/>
      <c r="B48" s="303"/>
      <c r="C48" s="1087"/>
      <c r="D48" s="1087"/>
      <c r="E48" s="1087" t="s">
        <v>351</v>
      </c>
      <c r="F48" s="15"/>
      <c r="G48" s="1087"/>
      <c r="H48" s="1087"/>
      <c r="I48" s="1087"/>
      <c r="J48" s="1087"/>
      <c r="K48" s="1087"/>
      <c r="L48" s="1087"/>
      <c r="M48" s="1087"/>
      <c r="N48" s="1087"/>
      <c r="O48" s="1087"/>
      <c r="P48" s="1087"/>
      <c r="Q48" s="1087"/>
      <c r="R48" s="1087"/>
      <c r="S48" s="1087"/>
      <c r="T48" s="1087"/>
      <c r="U48" s="1087"/>
      <c r="V48" s="1087"/>
      <c r="W48" s="15"/>
      <c r="X48" s="15"/>
      <c r="Y48" s="15"/>
      <c r="Z48" s="15"/>
      <c r="AA48" s="15"/>
      <c r="AB48" s="15"/>
      <c r="AC48" s="15"/>
      <c r="AD48" s="15"/>
      <c r="AE48" s="15"/>
      <c r="AF48" s="684"/>
    </row>
    <row r="49" spans="1:32" ht="15.75">
      <c r="A49" s="1086"/>
      <c r="B49" s="303"/>
      <c r="C49" s="1087"/>
      <c r="D49" s="1087"/>
      <c r="E49" s="1087" t="s">
        <v>1499</v>
      </c>
      <c r="F49" s="15"/>
      <c r="G49" s="1087"/>
      <c r="H49" s="1087"/>
      <c r="I49" s="1087"/>
      <c r="J49" s="1087"/>
      <c r="K49" s="1087"/>
      <c r="L49" s="1087"/>
      <c r="M49" s="1087"/>
      <c r="N49" s="1087"/>
      <c r="O49" s="1087"/>
      <c r="P49" s="1087"/>
      <c r="Q49" s="1087"/>
      <c r="R49" s="1087"/>
      <c r="S49" s="1087"/>
      <c r="T49" s="1087"/>
      <c r="U49" s="1087"/>
      <c r="V49" s="1087"/>
      <c r="W49" s="15"/>
      <c r="X49" s="15"/>
      <c r="Y49" s="15"/>
      <c r="Z49" s="15"/>
      <c r="AA49" s="15"/>
      <c r="AB49" s="15"/>
      <c r="AC49" s="15"/>
      <c r="AD49" s="15"/>
      <c r="AE49" s="15"/>
      <c r="AF49" s="684"/>
    </row>
    <row r="50" spans="1:32" ht="15.75">
      <c r="A50" s="1086"/>
      <c r="B50" s="303"/>
      <c r="C50" s="1087"/>
      <c r="D50" s="1087"/>
      <c r="E50" s="1087"/>
      <c r="F50" s="15"/>
      <c r="G50" s="1087"/>
      <c r="H50" s="1087"/>
      <c r="I50" s="1087"/>
      <c r="J50" s="1087"/>
      <c r="K50" s="1087"/>
      <c r="L50" s="1087"/>
      <c r="M50" s="1087"/>
      <c r="N50" s="1087"/>
      <c r="O50" s="1087"/>
      <c r="P50" s="1087"/>
      <c r="Q50" s="1087"/>
      <c r="R50" s="1087"/>
      <c r="S50" s="1087"/>
      <c r="T50" s="1087"/>
      <c r="U50" s="1087"/>
      <c r="V50" s="1087"/>
      <c r="W50" s="15"/>
      <c r="X50" s="15"/>
      <c r="Y50" s="15"/>
      <c r="Z50" s="15"/>
      <c r="AA50" s="15"/>
      <c r="AB50" s="15"/>
      <c r="AC50" s="15"/>
      <c r="AD50" s="15"/>
      <c r="AE50" s="15"/>
      <c r="AF50" s="684"/>
    </row>
    <row r="51" spans="1:32" ht="15.75">
      <c r="A51" s="1086">
        <v>3160</v>
      </c>
      <c r="B51" s="99" t="s">
        <v>365</v>
      </c>
      <c r="C51" s="1087"/>
      <c r="D51" s="1087"/>
      <c r="E51" s="1087" t="s">
        <v>366</v>
      </c>
      <c r="F51" s="15"/>
      <c r="G51" s="1087"/>
      <c r="H51" s="1087"/>
      <c r="I51" s="1087"/>
      <c r="J51" s="1087"/>
      <c r="K51" s="1087"/>
      <c r="L51" s="1087"/>
      <c r="M51" s="1087"/>
      <c r="N51" s="1087"/>
      <c r="O51" s="1087"/>
      <c r="P51" s="1087"/>
      <c r="Q51" s="1087"/>
      <c r="R51" s="1087"/>
      <c r="S51" s="1087"/>
      <c r="T51" s="1087"/>
      <c r="U51" s="1087"/>
      <c r="V51" s="1087"/>
      <c r="W51" s="15"/>
      <c r="X51" s="15"/>
      <c r="Y51" s="15"/>
      <c r="Z51" s="15"/>
      <c r="AA51" s="15"/>
      <c r="AB51" s="15"/>
      <c r="AC51" s="15"/>
      <c r="AD51" s="15"/>
      <c r="AE51" s="15"/>
      <c r="AF51" s="684"/>
    </row>
    <row r="52" spans="1:32" ht="15.75">
      <c r="A52" s="1086"/>
      <c r="B52" s="303"/>
      <c r="C52" s="1087"/>
      <c r="D52" s="1087"/>
      <c r="E52" s="1087" t="s">
        <v>367</v>
      </c>
      <c r="F52" s="15"/>
      <c r="G52" s="1087"/>
      <c r="H52" s="1087"/>
      <c r="I52" s="1087"/>
      <c r="J52" s="1087"/>
      <c r="K52" s="1087"/>
      <c r="L52" s="1087"/>
      <c r="M52" s="1087"/>
      <c r="N52" s="1087"/>
      <c r="O52" s="1087"/>
      <c r="P52" s="1087"/>
      <c r="Q52" s="1087"/>
      <c r="R52" s="1087"/>
      <c r="S52" s="1087"/>
      <c r="T52" s="1087"/>
      <c r="U52" s="1087"/>
      <c r="V52" s="1087"/>
      <c r="W52" s="15"/>
      <c r="X52" s="15"/>
      <c r="Y52" s="15"/>
      <c r="Z52" s="15"/>
      <c r="AA52" s="15"/>
      <c r="AB52" s="15"/>
      <c r="AC52" s="15"/>
      <c r="AD52" s="15"/>
      <c r="AE52" s="15"/>
      <c r="AF52" s="684"/>
    </row>
    <row r="53" spans="1:32" ht="15.75">
      <c r="A53" s="1086"/>
      <c r="B53" s="303"/>
      <c r="C53" s="1087"/>
      <c r="D53" s="1087"/>
      <c r="E53" s="1087" t="s">
        <v>1505</v>
      </c>
      <c r="F53" s="15"/>
      <c r="G53" s="1087"/>
      <c r="H53" s="1087"/>
      <c r="I53" s="1087"/>
      <c r="J53" s="1087"/>
      <c r="K53" s="1087"/>
      <c r="L53" s="1087"/>
      <c r="M53" s="1087"/>
      <c r="N53" s="1087"/>
      <c r="O53" s="1087"/>
      <c r="P53" s="1087"/>
      <c r="Q53" s="1087"/>
      <c r="R53" s="1087"/>
      <c r="S53" s="1087"/>
      <c r="T53" s="1087"/>
      <c r="U53" s="1087"/>
      <c r="V53" s="1087"/>
      <c r="W53" s="15"/>
      <c r="X53" s="15"/>
      <c r="Y53" s="15"/>
      <c r="Z53" s="15"/>
      <c r="AA53" s="15"/>
      <c r="AB53" s="15"/>
      <c r="AC53" s="15"/>
      <c r="AD53" s="15"/>
      <c r="AE53" s="15"/>
      <c r="AF53" s="684"/>
    </row>
    <row r="54" spans="1:32" ht="15.75">
      <c r="A54" s="1086"/>
      <c r="B54" s="303"/>
      <c r="C54" s="1087"/>
      <c r="D54" s="1087"/>
      <c r="E54" s="1087" t="s">
        <v>368</v>
      </c>
      <c r="F54" s="15"/>
      <c r="G54" s="1087"/>
      <c r="H54" s="1087"/>
      <c r="I54" s="1087"/>
      <c r="J54" s="1087"/>
      <c r="K54" s="1087"/>
      <c r="L54" s="1087"/>
      <c r="M54" s="1087"/>
      <c r="N54" s="1087"/>
      <c r="O54" s="1087"/>
      <c r="P54" s="1087"/>
      <c r="Q54" s="1087"/>
      <c r="R54" s="1087"/>
      <c r="S54" s="1087"/>
      <c r="T54" s="1087"/>
      <c r="U54" s="1087"/>
      <c r="V54" s="1087"/>
      <c r="W54" s="15"/>
      <c r="X54" s="15"/>
      <c r="Y54" s="15"/>
      <c r="Z54" s="15"/>
      <c r="AA54" s="15"/>
      <c r="AB54" s="15"/>
      <c r="AC54" s="15"/>
      <c r="AD54" s="15"/>
      <c r="AE54" s="15"/>
      <c r="AF54" s="684"/>
    </row>
    <row r="55" spans="1:32" ht="15.75">
      <c r="A55" s="1086"/>
      <c r="B55" s="303"/>
      <c r="C55" s="1087"/>
      <c r="D55" s="1087"/>
      <c r="E55" s="1087" t="s">
        <v>363</v>
      </c>
      <c r="F55" s="15"/>
      <c r="G55" s="1087"/>
      <c r="H55" s="1087"/>
      <c r="I55" s="1087"/>
      <c r="J55" s="1087"/>
      <c r="K55" s="1087"/>
      <c r="L55" s="1087"/>
      <c r="M55" s="1087"/>
      <c r="N55" s="1087"/>
      <c r="O55" s="1087"/>
      <c r="P55" s="1087"/>
      <c r="Q55" s="1087"/>
      <c r="R55" s="1087"/>
      <c r="S55" s="1087"/>
      <c r="T55" s="1087"/>
      <c r="U55" s="1087"/>
      <c r="V55" s="1087"/>
      <c r="W55" s="15"/>
      <c r="X55" s="15"/>
      <c r="Y55" s="15"/>
      <c r="Z55" s="15"/>
      <c r="AA55" s="15"/>
      <c r="AB55" s="15"/>
      <c r="AC55" s="15"/>
      <c r="AD55" s="15"/>
      <c r="AE55" s="15"/>
      <c r="AF55" s="684"/>
    </row>
    <row r="56" spans="1:32" ht="15.75">
      <c r="A56" s="1086"/>
      <c r="B56" s="303"/>
      <c r="C56" s="1087"/>
      <c r="D56" s="1087"/>
      <c r="E56" s="1087" t="s">
        <v>1517</v>
      </c>
      <c r="F56" s="15"/>
      <c r="G56" s="1087"/>
      <c r="H56" s="1087"/>
      <c r="I56" s="1087"/>
      <c r="J56" s="1087"/>
      <c r="K56" s="1087"/>
      <c r="L56" s="1087"/>
      <c r="M56" s="1087"/>
      <c r="N56" s="1087"/>
      <c r="O56" s="1087"/>
      <c r="P56" s="1087"/>
      <c r="Q56" s="1087"/>
      <c r="R56" s="1087"/>
      <c r="S56" s="1087"/>
      <c r="T56" s="1087"/>
      <c r="U56" s="1087"/>
      <c r="V56" s="1087"/>
      <c r="W56" s="15"/>
      <c r="X56" s="15"/>
      <c r="Y56" s="15"/>
      <c r="Z56" s="15"/>
      <c r="AA56" s="15"/>
      <c r="AB56" s="15"/>
      <c r="AC56" s="15"/>
      <c r="AD56" s="15"/>
      <c r="AE56" s="15"/>
      <c r="AF56" s="684"/>
    </row>
    <row r="57" spans="1:32" ht="15.75">
      <c r="A57" s="1086"/>
      <c r="B57" s="303"/>
      <c r="C57" s="1087"/>
      <c r="D57" s="1087"/>
      <c r="E57" s="1086"/>
      <c r="F57" s="15"/>
      <c r="G57" s="1087"/>
      <c r="H57" s="1087"/>
      <c r="I57" s="1087"/>
      <c r="J57" s="1087"/>
      <c r="K57" s="1087"/>
      <c r="L57" s="1087"/>
      <c r="M57" s="1087"/>
      <c r="N57" s="1087"/>
      <c r="O57" s="1087"/>
      <c r="P57" s="1087"/>
      <c r="Q57" s="1087"/>
      <c r="R57" s="1087"/>
      <c r="S57" s="1087"/>
      <c r="T57" s="1087"/>
      <c r="U57" s="1087"/>
      <c r="V57" s="1087"/>
      <c r="W57" s="15"/>
      <c r="X57" s="15"/>
      <c r="Y57" s="15"/>
      <c r="Z57" s="15"/>
      <c r="AA57" s="15"/>
      <c r="AB57" s="15"/>
      <c r="AC57" s="15"/>
      <c r="AD57" s="15"/>
      <c r="AE57" s="15"/>
      <c r="AF57" s="684"/>
    </row>
    <row r="58" spans="1:32" ht="15.75">
      <c r="A58" s="1086">
        <v>3170</v>
      </c>
      <c r="B58" s="99" t="s">
        <v>369</v>
      </c>
      <c r="C58" s="1087"/>
      <c r="D58" s="1087"/>
      <c r="E58" s="1087" t="s">
        <v>1514</v>
      </c>
      <c r="F58" s="15"/>
      <c r="G58" s="1090"/>
      <c r="H58" s="1090"/>
      <c r="I58" s="1090"/>
      <c r="J58" s="1090"/>
      <c r="K58" s="1090"/>
      <c r="L58" s="1090"/>
      <c r="M58" s="1090"/>
      <c r="N58" s="1090"/>
      <c r="O58" s="1090"/>
      <c r="P58" s="1090"/>
      <c r="Q58" s="1090"/>
      <c r="R58" s="1090"/>
      <c r="S58" s="1090"/>
      <c r="T58" s="1090"/>
      <c r="U58" s="1090"/>
      <c r="V58" s="1090"/>
      <c r="W58" s="15"/>
      <c r="X58" s="15"/>
      <c r="Y58" s="15"/>
      <c r="Z58" s="15"/>
      <c r="AA58" s="15"/>
      <c r="AB58" s="15"/>
      <c r="AC58" s="15"/>
      <c r="AD58" s="15"/>
      <c r="AE58" s="15"/>
      <c r="AF58" s="684"/>
    </row>
    <row r="59" spans="1:32" ht="15.75">
      <c r="A59" s="1086"/>
      <c r="B59" s="303"/>
      <c r="C59" s="1087"/>
      <c r="D59" s="1087"/>
      <c r="E59" s="1087" t="s">
        <v>1502</v>
      </c>
      <c r="F59" s="15"/>
      <c r="G59" s="1090"/>
      <c r="H59" s="1090"/>
      <c r="I59" s="1090"/>
      <c r="J59" s="1090"/>
      <c r="K59" s="1090"/>
      <c r="L59" s="1090"/>
      <c r="M59" s="1090"/>
      <c r="N59" s="1090"/>
      <c r="O59" s="1090"/>
      <c r="P59" s="1090"/>
      <c r="Q59" s="1090"/>
      <c r="R59" s="1090"/>
      <c r="S59" s="1090"/>
      <c r="T59" s="1090"/>
      <c r="U59" s="1090"/>
      <c r="V59" s="1090"/>
      <c r="W59" s="15"/>
      <c r="X59" s="15"/>
      <c r="Y59" s="15"/>
      <c r="Z59" s="15"/>
      <c r="AA59" s="15"/>
      <c r="AB59" s="15"/>
      <c r="AC59" s="15"/>
      <c r="AD59" s="15"/>
      <c r="AE59" s="15"/>
      <c r="AF59" s="684"/>
    </row>
    <row r="60" spans="1:32" ht="15.75">
      <c r="A60" s="1086"/>
      <c r="B60" s="1091"/>
      <c r="C60" s="1082"/>
      <c r="D60" s="1082"/>
      <c r="E60" s="1087" t="s">
        <v>1515</v>
      </c>
      <c r="F60" s="15"/>
      <c r="G60" s="15"/>
      <c r="H60" s="15"/>
      <c r="I60" s="1090"/>
      <c r="J60" s="1090"/>
      <c r="K60" s="1090"/>
      <c r="L60" s="1090"/>
      <c r="M60" s="1090"/>
      <c r="N60" s="1090"/>
      <c r="O60" s="1090"/>
      <c r="P60" s="1090"/>
      <c r="Q60" s="1090"/>
      <c r="R60" s="1090"/>
      <c r="S60" s="1090"/>
      <c r="T60" s="1090"/>
      <c r="U60" s="1090"/>
      <c r="V60" s="1090"/>
      <c r="W60" s="15"/>
      <c r="X60" s="15"/>
      <c r="Y60" s="15"/>
      <c r="Z60" s="15"/>
      <c r="AA60" s="15"/>
      <c r="AB60" s="15"/>
      <c r="AC60" s="15"/>
      <c r="AD60" s="15"/>
      <c r="AE60" s="15"/>
      <c r="AF60" s="684"/>
    </row>
    <row r="61" spans="1:32" ht="15.75">
      <c r="A61" s="1086"/>
      <c r="B61" s="303"/>
      <c r="C61" s="1087"/>
      <c r="D61" s="1087"/>
      <c r="E61" s="1087" t="s">
        <v>370</v>
      </c>
      <c r="F61" s="15"/>
      <c r="G61" s="1090"/>
      <c r="H61" s="1090"/>
      <c r="I61" s="1090"/>
      <c r="J61" s="1090"/>
      <c r="K61" s="1090"/>
      <c r="L61" s="1090"/>
      <c r="M61" s="1090"/>
      <c r="N61" s="1090"/>
      <c r="O61" s="1090"/>
      <c r="P61" s="1090"/>
      <c r="Q61" s="1090"/>
      <c r="R61" s="1090"/>
      <c r="S61" s="1090"/>
      <c r="T61" s="1090"/>
      <c r="U61" s="1090"/>
      <c r="V61" s="1090"/>
      <c r="W61" s="15"/>
      <c r="X61" s="15"/>
      <c r="Y61" s="15"/>
      <c r="Z61" s="15"/>
      <c r="AA61" s="15"/>
      <c r="AB61" s="15"/>
      <c r="AC61" s="15"/>
      <c r="AD61" s="15"/>
      <c r="AE61" s="15"/>
      <c r="AF61" s="684"/>
    </row>
    <row r="62" spans="1:32" ht="15.75">
      <c r="A62" s="1086"/>
      <c r="B62" s="303"/>
      <c r="C62" s="1087"/>
      <c r="D62" s="1087"/>
      <c r="E62" s="1087" t="s">
        <v>1517</v>
      </c>
      <c r="F62" s="15"/>
      <c r="G62" s="1090"/>
      <c r="H62" s="1090"/>
      <c r="I62" s="1090"/>
      <c r="J62" s="1090"/>
      <c r="K62" s="1090"/>
      <c r="L62" s="1090"/>
      <c r="M62" s="1090"/>
      <c r="N62" s="1090"/>
      <c r="O62" s="1090"/>
      <c r="P62" s="1090"/>
      <c r="Q62" s="1090"/>
      <c r="R62" s="1090"/>
      <c r="S62" s="1090"/>
      <c r="T62" s="1090"/>
      <c r="U62" s="1090"/>
      <c r="V62" s="1090"/>
      <c r="W62" s="15"/>
      <c r="X62" s="15"/>
      <c r="Y62" s="15"/>
      <c r="Z62" s="15"/>
      <c r="AA62" s="15"/>
      <c r="AB62" s="15"/>
      <c r="AC62" s="15"/>
      <c r="AD62" s="15"/>
      <c r="AE62" s="15"/>
      <c r="AF62" s="684"/>
    </row>
    <row r="63" spans="1:32" ht="15.75">
      <c r="A63" s="1086"/>
      <c r="B63" s="303"/>
      <c r="C63" s="1087"/>
      <c r="D63" s="1087"/>
      <c r="E63" s="1087"/>
      <c r="F63" s="15"/>
      <c r="G63" s="1090"/>
      <c r="H63" s="1090"/>
      <c r="I63" s="1090"/>
      <c r="J63" s="1090"/>
      <c r="K63" s="1090"/>
      <c r="L63" s="1090"/>
      <c r="M63" s="1090"/>
      <c r="N63" s="1090"/>
      <c r="O63" s="1090"/>
      <c r="P63" s="1090"/>
      <c r="Q63" s="1090"/>
      <c r="R63" s="1090"/>
      <c r="S63" s="1090"/>
      <c r="T63" s="1090"/>
      <c r="U63" s="1090"/>
      <c r="V63" s="1090"/>
      <c r="W63" s="15"/>
      <c r="X63" s="15"/>
      <c r="Y63" s="15"/>
      <c r="Z63" s="15"/>
      <c r="AA63" s="15"/>
      <c r="AB63" s="15"/>
      <c r="AC63" s="15"/>
      <c r="AD63" s="15"/>
      <c r="AE63" s="15"/>
      <c r="AF63" s="684"/>
    </row>
    <row r="64" spans="1:32" ht="15.75">
      <c r="A64" s="1086"/>
      <c r="B64" s="1092"/>
      <c r="C64" s="1087"/>
      <c r="D64" s="1087"/>
      <c r="E64" s="1087"/>
      <c r="F64" s="15"/>
      <c r="G64" s="1090"/>
      <c r="H64" s="1090"/>
      <c r="I64" s="1090"/>
      <c r="J64" s="1090"/>
      <c r="K64" s="1090"/>
      <c r="L64" s="1090"/>
      <c r="M64" s="1090"/>
      <c r="N64" s="1090"/>
      <c r="O64" s="1090"/>
      <c r="P64" s="1090"/>
      <c r="Q64" s="1090"/>
      <c r="R64" s="1090"/>
      <c r="S64" s="1090"/>
      <c r="T64" s="1090"/>
      <c r="U64" s="1090"/>
      <c r="V64" s="1090"/>
      <c r="W64" s="15"/>
      <c r="X64" s="15"/>
      <c r="Y64" s="15"/>
      <c r="Z64" s="15"/>
      <c r="AA64" s="15"/>
      <c r="AB64" s="15"/>
      <c r="AC64" s="15"/>
      <c r="AD64" s="15"/>
      <c r="AE64" s="15"/>
      <c r="AF64" s="684"/>
    </row>
    <row r="65" spans="1:32" ht="15.75">
      <c r="A65" s="1086"/>
      <c r="B65" s="1092"/>
      <c r="C65" s="1087"/>
      <c r="D65" s="1087"/>
      <c r="E65" s="1087"/>
      <c r="F65" s="15"/>
      <c r="G65" s="1090"/>
      <c r="H65" s="1090"/>
      <c r="I65" s="1090"/>
      <c r="J65" s="1090"/>
      <c r="K65" s="1090"/>
      <c r="L65" s="1090"/>
      <c r="M65" s="1090"/>
      <c r="N65" s="1090"/>
      <c r="O65" s="1090"/>
      <c r="P65" s="1090"/>
      <c r="Q65" s="1090"/>
      <c r="R65" s="1090"/>
      <c r="S65" s="1090"/>
      <c r="T65" s="1090"/>
      <c r="U65" s="1090"/>
      <c r="V65" s="1090"/>
      <c r="W65" s="15"/>
      <c r="X65" s="15"/>
      <c r="Y65" s="15"/>
      <c r="Z65" s="15"/>
      <c r="AA65" s="15"/>
      <c r="AB65" s="15"/>
      <c r="AC65" s="15"/>
      <c r="AD65" s="15"/>
      <c r="AE65" s="15"/>
      <c r="AF65" s="684"/>
    </row>
    <row r="66" spans="1:32" ht="15.75">
      <c r="A66" s="1086"/>
      <c r="B66" s="1092"/>
      <c r="C66" s="1087"/>
      <c r="D66" s="1087"/>
      <c r="E66" s="1087"/>
      <c r="F66" s="15"/>
      <c r="G66" s="1090"/>
      <c r="H66" s="1090"/>
      <c r="I66" s="1090"/>
      <c r="J66" s="1090"/>
      <c r="K66" s="1090"/>
      <c r="L66" s="1090"/>
      <c r="M66" s="1090"/>
      <c r="N66" s="1090"/>
      <c r="O66" s="1090"/>
      <c r="P66" s="1090"/>
      <c r="Q66" s="1090"/>
      <c r="R66" s="1090"/>
      <c r="S66" s="1090"/>
      <c r="T66" s="1090"/>
      <c r="U66" s="1090"/>
      <c r="V66" s="1090"/>
      <c r="W66" s="15"/>
      <c r="X66" s="15"/>
      <c r="Y66" s="15"/>
      <c r="Z66" s="15"/>
      <c r="AA66" s="15"/>
      <c r="AB66" s="15"/>
      <c r="AC66" s="15"/>
      <c r="AD66" s="15"/>
      <c r="AE66" s="15"/>
      <c r="AF66" s="684"/>
    </row>
    <row r="67" spans="1:32" ht="15.75">
      <c r="A67" s="1086"/>
      <c r="B67" s="1092"/>
      <c r="C67" s="1087"/>
      <c r="D67" s="1087"/>
      <c r="E67" s="1087"/>
      <c r="F67" s="15"/>
      <c r="G67" s="1090"/>
      <c r="H67" s="1090"/>
      <c r="I67" s="1090"/>
      <c r="J67" s="1090"/>
      <c r="K67" s="1090"/>
      <c r="L67" s="1090"/>
      <c r="M67" s="1090"/>
      <c r="N67" s="1090"/>
      <c r="O67" s="1090"/>
      <c r="P67" s="1090"/>
      <c r="Q67" s="1090"/>
      <c r="R67" s="1090"/>
      <c r="S67" s="1090"/>
      <c r="T67" s="1090"/>
      <c r="U67" s="1090"/>
      <c r="V67" s="1090"/>
      <c r="W67" s="15"/>
      <c r="X67" s="15"/>
      <c r="Y67" s="15"/>
      <c r="Z67" s="15"/>
      <c r="AA67" s="15"/>
      <c r="AB67" s="15"/>
      <c r="AC67" s="15"/>
      <c r="AD67" s="15"/>
      <c r="AE67" s="15"/>
      <c r="AF67" s="684"/>
    </row>
    <row r="68" spans="1:32" ht="15.75">
      <c r="A68" s="1086"/>
      <c r="B68" s="1092"/>
      <c r="C68" s="1087"/>
      <c r="D68" s="1087"/>
      <c r="E68" s="1087"/>
      <c r="F68" s="15"/>
      <c r="G68" s="1090"/>
      <c r="H68" s="1090"/>
      <c r="I68" s="1090"/>
      <c r="J68" s="1090"/>
      <c r="K68" s="1090"/>
      <c r="L68" s="1090"/>
      <c r="M68" s="1090"/>
      <c r="N68" s="1090"/>
      <c r="O68" s="1090"/>
      <c r="P68" s="1090"/>
      <c r="Q68" s="1090"/>
      <c r="R68" s="1090"/>
      <c r="S68" s="1090"/>
      <c r="T68" s="1090"/>
      <c r="U68" s="1090"/>
      <c r="V68" s="1090"/>
      <c r="W68" s="15"/>
      <c r="X68" s="15"/>
      <c r="Y68" s="15"/>
      <c r="Z68" s="15"/>
      <c r="AA68" s="15"/>
      <c r="AB68" s="15"/>
      <c r="AC68" s="15"/>
      <c r="AD68" s="15"/>
      <c r="AE68" s="15"/>
      <c r="AF68" s="684"/>
    </row>
    <row r="69" spans="1:32" ht="15.75">
      <c r="A69" s="1086"/>
      <c r="B69" s="1092"/>
      <c r="C69" s="1087"/>
      <c r="D69" s="1087"/>
      <c r="E69" s="1087"/>
      <c r="F69" s="15"/>
      <c r="G69" s="1090"/>
      <c r="H69" s="1090"/>
      <c r="I69" s="1090"/>
      <c r="J69" s="1090"/>
      <c r="K69" s="1090"/>
      <c r="L69" s="1090"/>
      <c r="M69" s="1090"/>
      <c r="N69" s="1090"/>
      <c r="O69" s="1090"/>
      <c r="P69" s="1090"/>
      <c r="Q69" s="1090"/>
      <c r="R69" s="1090"/>
      <c r="S69" s="1090"/>
      <c r="T69" s="1090"/>
      <c r="U69" s="1090"/>
      <c r="V69" s="1090"/>
      <c r="W69" s="15"/>
      <c r="X69" s="15"/>
      <c r="Y69" s="15"/>
      <c r="Z69" s="15"/>
      <c r="AA69" s="15"/>
      <c r="AB69" s="15"/>
      <c r="AC69" s="15"/>
      <c r="AD69" s="15"/>
      <c r="AE69" s="15"/>
      <c r="AF69" s="684"/>
    </row>
    <row r="70" spans="1:32" ht="15.75">
      <c r="A70" s="1086"/>
      <c r="B70" s="1092"/>
      <c r="C70" s="1087"/>
      <c r="D70" s="1087"/>
      <c r="E70" s="1087"/>
      <c r="F70" s="15"/>
      <c r="G70" s="1090"/>
      <c r="H70" s="1090"/>
      <c r="I70" s="1090"/>
      <c r="J70" s="1090"/>
      <c r="K70" s="1090"/>
      <c r="L70" s="1090"/>
      <c r="M70" s="1090"/>
      <c r="N70" s="1090"/>
      <c r="O70" s="1090"/>
      <c r="P70" s="1090"/>
      <c r="Q70" s="1090"/>
      <c r="R70" s="1090"/>
      <c r="S70" s="1090"/>
      <c r="T70" s="1090"/>
      <c r="U70" s="1090"/>
      <c r="V70" s="1090"/>
      <c r="W70" s="15"/>
      <c r="X70" s="15"/>
      <c r="Y70" s="15"/>
      <c r="Z70" s="15"/>
      <c r="AA70" s="15"/>
      <c r="AB70" s="15"/>
      <c r="AC70" s="15"/>
      <c r="AD70" s="15"/>
      <c r="AE70" s="15"/>
      <c r="AF70" s="684"/>
    </row>
    <row r="71" spans="1:32" ht="15.75">
      <c r="A71" s="1086"/>
      <c r="B71" s="1092"/>
      <c r="C71" s="1087"/>
      <c r="D71" s="1087"/>
      <c r="E71" s="1087"/>
      <c r="F71" s="15"/>
      <c r="G71" s="1090"/>
      <c r="H71" s="1090"/>
      <c r="I71" s="1090"/>
      <c r="J71" s="1090"/>
      <c r="K71" s="1090"/>
      <c r="L71" s="1090"/>
      <c r="M71" s="1090"/>
      <c r="N71" s="1090"/>
      <c r="O71" s="1090"/>
      <c r="P71" s="1090"/>
      <c r="Q71" s="1090"/>
      <c r="R71" s="1090"/>
      <c r="S71" s="1090"/>
      <c r="T71" s="1090"/>
      <c r="U71" s="1090"/>
      <c r="V71" s="1090"/>
      <c r="W71" s="15"/>
      <c r="X71" s="15"/>
      <c r="Y71" s="15"/>
      <c r="Z71" s="15"/>
      <c r="AA71" s="15"/>
      <c r="AB71" s="15"/>
      <c r="AC71" s="15"/>
      <c r="AD71" s="15"/>
      <c r="AE71" s="15"/>
      <c r="AF71" s="684"/>
    </row>
    <row r="72" spans="1:32" ht="15.75">
      <c r="A72" s="1086"/>
      <c r="B72" s="1092"/>
      <c r="C72" s="1087"/>
      <c r="D72" s="1087"/>
      <c r="E72" s="1087"/>
      <c r="F72" s="15"/>
      <c r="G72" s="1090"/>
      <c r="H72" s="1090"/>
      <c r="I72" s="1090"/>
      <c r="J72" s="1090"/>
      <c r="K72" s="1090"/>
      <c r="L72" s="1090"/>
      <c r="M72" s="1090"/>
      <c r="N72" s="1090"/>
      <c r="O72" s="1090"/>
      <c r="P72" s="1090"/>
      <c r="Q72" s="1090"/>
      <c r="R72" s="1090"/>
      <c r="S72" s="1090"/>
      <c r="T72" s="1090"/>
      <c r="U72" s="1090"/>
      <c r="V72" s="1090"/>
      <c r="W72" s="15"/>
      <c r="X72" s="15"/>
      <c r="Y72" s="15"/>
      <c r="Z72" s="15"/>
      <c r="AA72" s="15"/>
      <c r="AB72" s="15"/>
      <c r="AC72" s="15"/>
      <c r="AD72" s="15"/>
      <c r="AE72" s="15"/>
      <c r="AF72" s="684"/>
    </row>
    <row r="73" spans="1:32" ht="15.75">
      <c r="A73" s="1086"/>
      <c r="B73" s="1092"/>
      <c r="C73" s="1087"/>
      <c r="D73" s="1087"/>
      <c r="E73" s="1087"/>
      <c r="F73" s="15"/>
      <c r="G73" s="1090"/>
      <c r="H73" s="1090"/>
      <c r="I73" s="1090"/>
      <c r="J73" s="1090"/>
      <c r="K73" s="1090"/>
      <c r="L73" s="1090"/>
      <c r="M73" s="1090"/>
      <c r="N73" s="1090"/>
      <c r="O73" s="1090"/>
      <c r="P73" s="1090"/>
      <c r="Q73" s="1090"/>
      <c r="R73" s="1090"/>
      <c r="S73" s="1090"/>
      <c r="T73" s="1090"/>
      <c r="U73" s="1090"/>
      <c r="V73" s="1090"/>
      <c r="W73" s="15"/>
      <c r="X73" s="15"/>
      <c r="Y73" s="15"/>
      <c r="Z73" s="15"/>
      <c r="AA73" s="15"/>
      <c r="AB73" s="15"/>
      <c r="AC73" s="15"/>
      <c r="AD73" s="15"/>
      <c r="AE73" s="15"/>
      <c r="AF73" s="684"/>
    </row>
    <row r="74" spans="1:32" ht="15.75">
      <c r="A74" s="1086"/>
      <c r="B74" s="1092"/>
      <c r="C74" s="1087"/>
      <c r="D74" s="1087"/>
      <c r="E74" s="1087"/>
      <c r="F74" s="15"/>
      <c r="G74" s="1090"/>
      <c r="H74" s="1090"/>
      <c r="I74" s="1090"/>
      <c r="J74" s="1090"/>
      <c r="K74" s="1090"/>
      <c r="L74" s="1090"/>
      <c r="M74" s="1090"/>
      <c r="N74" s="1090"/>
      <c r="O74" s="1090"/>
      <c r="P74" s="1090"/>
      <c r="Q74" s="1090"/>
      <c r="R74" s="1090"/>
      <c r="S74" s="1090"/>
      <c r="T74" s="1090"/>
      <c r="U74" s="1090"/>
      <c r="V74" s="1090"/>
      <c r="W74" s="15"/>
      <c r="X74" s="15"/>
      <c r="Y74" s="15"/>
      <c r="Z74" s="15"/>
      <c r="AA74" s="15"/>
      <c r="AB74" s="15"/>
      <c r="AC74" s="15"/>
      <c r="AD74" s="15"/>
      <c r="AE74" s="15"/>
      <c r="AF74" s="684"/>
    </row>
    <row r="75" spans="1:32" ht="15.75">
      <c r="A75" s="1086"/>
      <c r="B75" s="1092"/>
      <c r="C75" s="1087"/>
      <c r="D75" s="1087"/>
      <c r="E75" s="1087"/>
      <c r="F75" s="15"/>
      <c r="G75" s="1090"/>
      <c r="H75" s="1090"/>
      <c r="I75" s="1090"/>
      <c r="J75" s="1090"/>
      <c r="K75" s="1090"/>
      <c r="L75" s="1090"/>
      <c r="M75" s="1090"/>
      <c r="N75" s="1090"/>
      <c r="O75" s="1090"/>
      <c r="P75" s="1090"/>
      <c r="Q75" s="1090"/>
      <c r="R75" s="1090"/>
      <c r="S75" s="1090"/>
      <c r="T75" s="1090"/>
      <c r="U75" s="1090"/>
      <c r="V75" s="1090"/>
      <c r="W75" s="15"/>
      <c r="X75" s="15"/>
      <c r="Y75" s="15"/>
      <c r="Z75" s="15"/>
      <c r="AA75" s="15"/>
      <c r="AB75" s="15"/>
      <c r="AC75" s="15"/>
      <c r="AD75" s="15"/>
      <c r="AE75" s="15"/>
      <c r="AF75" s="684"/>
    </row>
    <row r="76" spans="1:32" ht="15.75">
      <c r="A76" s="1086"/>
      <c r="B76" s="1092"/>
      <c r="C76" s="1087"/>
      <c r="D76" s="1087"/>
      <c r="E76" s="1087"/>
      <c r="F76" s="15"/>
      <c r="G76" s="1090"/>
      <c r="H76" s="1090"/>
      <c r="I76" s="1090"/>
      <c r="J76" s="1090"/>
      <c r="K76" s="1090"/>
      <c r="L76" s="1090"/>
      <c r="M76" s="1090"/>
      <c r="N76" s="1090"/>
      <c r="O76" s="1090"/>
      <c r="P76" s="1090"/>
      <c r="Q76" s="1090"/>
      <c r="R76" s="1090"/>
      <c r="S76" s="1090"/>
      <c r="T76" s="1090"/>
      <c r="U76" s="1090"/>
      <c r="V76" s="1090"/>
      <c r="W76" s="15"/>
      <c r="X76" s="15"/>
      <c r="Y76" s="15"/>
      <c r="Z76" s="15"/>
      <c r="AA76" s="15"/>
      <c r="AB76" s="15"/>
      <c r="AC76" s="15"/>
      <c r="AD76" s="15"/>
      <c r="AE76" s="15"/>
      <c r="AF76" s="684"/>
    </row>
    <row r="77" spans="1:32" ht="15.75">
      <c r="A77" s="1086"/>
      <c r="B77" s="1092"/>
      <c r="C77" s="1087"/>
      <c r="D77" s="1087"/>
      <c r="E77" s="1087"/>
      <c r="F77" s="15"/>
      <c r="G77" s="1090"/>
      <c r="H77" s="1090"/>
      <c r="I77" s="1090"/>
      <c r="J77" s="1090"/>
      <c r="K77" s="1090"/>
      <c r="L77" s="1090"/>
      <c r="M77" s="1090"/>
      <c r="N77" s="1090"/>
      <c r="O77" s="1090"/>
      <c r="P77" s="1090"/>
      <c r="Q77" s="1090"/>
      <c r="R77" s="1090"/>
      <c r="S77" s="1090"/>
      <c r="T77" s="1090"/>
      <c r="U77" s="1090"/>
      <c r="V77" s="1090"/>
      <c r="W77" s="15"/>
      <c r="X77" s="15"/>
      <c r="Y77" s="15"/>
      <c r="Z77" s="15"/>
      <c r="AA77" s="15"/>
      <c r="AB77" s="15"/>
      <c r="AC77" s="15"/>
      <c r="AD77" s="15"/>
      <c r="AE77" s="15"/>
      <c r="AF77" s="684"/>
    </row>
    <row r="78" spans="1:32" ht="15.75">
      <c r="A78" s="1086"/>
      <c r="B78" s="1092"/>
      <c r="C78" s="1087"/>
      <c r="D78" s="1087"/>
      <c r="E78" s="1087"/>
      <c r="F78" s="15"/>
      <c r="G78" s="1090"/>
      <c r="H78" s="1090"/>
      <c r="I78" s="1090"/>
      <c r="J78" s="1090"/>
      <c r="K78" s="1090"/>
      <c r="L78" s="1090"/>
      <c r="M78" s="1090"/>
      <c r="N78" s="1090"/>
      <c r="O78" s="1090"/>
      <c r="P78" s="1090"/>
      <c r="Q78" s="1090"/>
      <c r="R78" s="1090"/>
      <c r="S78" s="1090"/>
      <c r="T78" s="1090"/>
      <c r="U78" s="1090"/>
      <c r="V78" s="1090"/>
      <c r="W78" s="15"/>
      <c r="X78" s="15"/>
      <c r="Y78" s="15"/>
      <c r="Z78" s="15"/>
      <c r="AA78" s="15"/>
      <c r="AB78" s="15"/>
      <c r="AC78" s="15"/>
      <c r="AD78" s="15"/>
      <c r="AE78" s="15"/>
      <c r="AF78" s="684"/>
    </row>
    <row r="79" spans="1:32" ht="15">
      <c r="A79" s="1063"/>
      <c r="B79" s="1063"/>
      <c r="C79" s="1063"/>
      <c r="D79" s="1063"/>
      <c r="E79" s="1063"/>
      <c r="F79" s="1063"/>
      <c r="G79" s="1063"/>
      <c r="H79" s="1063"/>
      <c r="I79" s="1063"/>
      <c r="J79" s="1063"/>
      <c r="K79" s="1063"/>
      <c r="L79" s="1063"/>
      <c r="M79" s="1063"/>
      <c r="N79" s="1063"/>
      <c r="O79" s="1063"/>
      <c r="P79" s="1063"/>
      <c r="Q79" s="1063"/>
      <c r="R79" s="1063"/>
      <c r="S79" s="1063"/>
      <c r="T79" s="1063"/>
      <c r="U79" s="1063"/>
      <c r="V79" s="1063"/>
      <c r="W79" s="1063"/>
      <c r="X79" s="1063"/>
      <c r="Y79" s="1063"/>
      <c r="Z79" s="1063"/>
      <c r="AA79" s="1063"/>
      <c r="AB79" s="1063"/>
      <c r="AC79" s="1063"/>
      <c r="AD79" s="1063"/>
      <c r="AE79" s="1063"/>
      <c r="AF79" s="684"/>
    </row>
    <row r="80" spans="1:32" ht="14.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28" ht="14.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row>
    <row r="82" spans="1:28" ht="14.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row>
    <row r="83" spans="1:28" ht="14.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row>
    <row r="84" spans="1:28" ht="14.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row>
    <row r="85" spans="1:28" ht="14.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row>
    <row r="86" spans="1:28" ht="14.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row>
    <row r="87" spans="1:28" ht="14.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row>
    <row r="88" spans="1:28" ht="14.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row>
    <row r="89" spans="1:28" ht="14.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row>
    <row r="90" spans="1:28" ht="14.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row>
    <row r="91" spans="1:28" ht="14.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row>
    <row r="92" spans="1:28" ht="14.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row>
    <row r="93" spans="1:28" ht="14.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row>
    <row r="94" spans="1:28" ht="14.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row>
    <row r="95" spans="1:28" ht="14.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row>
    <row r="96" spans="1:28" ht="14.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row>
    <row r="97" spans="1:28" ht="14.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row>
    <row r="98" spans="1:28" ht="14.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row>
    <row r="99" spans="1:28" ht="14.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row>
    <row r="100" spans="1:28" ht="14.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row>
    <row r="101" spans="1:28" ht="14.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row>
    <row r="102" spans="1:28" ht="14.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row>
    <row r="103" spans="1:28" ht="14.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row>
    <row r="104" spans="1:28" ht="14.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row>
    <row r="105" spans="1:28" ht="14.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row>
    <row r="106" spans="1:28" ht="14.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row>
    <row r="107" spans="1:28" ht="14.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row>
    <row r="108" spans="1:28" ht="14.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row>
    <row r="109" spans="1:28" ht="14.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row>
    <row r="110" spans="1:28" ht="14.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row>
  </sheetData>
  <mergeCells count="5">
    <mergeCell ref="U1:Z1"/>
    <mergeCell ref="I2:L2"/>
    <mergeCell ref="A1:D1"/>
    <mergeCell ref="E1:G1"/>
    <mergeCell ref="F2:G2"/>
  </mergeCells>
  <printOptions headings="1" gridLines="1"/>
  <pageMargins left="0.7" right="0.7" top="0.75" bottom="0.75" header="0.3" footer="0.3"/>
  <pageSetup paperSize="9" scale="5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C262-4F1A-48B9-8268-3B37B5ABF6E8}">
  <sheetPr>
    <tabColor rgb="FF7030A0"/>
    <pageSetUpPr fitToPage="1"/>
  </sheetPr>
  <dimension ref="A1:AG127"/>
  <sheetViews>
    <sheetView view="pageBreakPreview" zoomScale="90" zoomScaleNormal="100" zoomScaleSheetLayoutView="90" workbookViewId="0">
      <selection sqref="A1:D1"/>
    </sheetView>
  </sheetViews>
  <sheetFormatPr defaultRowHeight="12.75"/>
  <cols>
    <col min="1" max="1" width="6.5703125" customWidth="1"/>
    <col min="2" max="2" width="7" customWidth="1"/>
    <col min="3" max="3" width="7.28515625" customWidth="1"/>
    <col min="4" max="4" width="16.42578125" customWidth="1"/>
    <col min="5" max="5" width="23.28515625" customWidth="1"/>
    <col min="6" max="12" width="8.5703125" hidden="1" customWidth="1"/>
    <col min="13" max="16" width="9" hidden="1" customWidth="1"/>
    <col min="17" max="28" width="10.28515625" customWidth="1"/>
    <col min="29" max="29" width="13.28515625" customWidth="1"/>
    <col min="30" max="30" width="11.28515625" bestFit="1" customWidth="1"/>
  </cols>
  <sheetData>
    <row r="1" spans="1:33" ht="18">
      <c r="A1" s="1533" t="s">
        <v>0</v>
      </c>
      <c r="B1" s="1541"/>
      <c r="C1" s="1541"/>
      <c r="D1" s="1534"/>
      <c r="E1" s="1608"/>
      <c r="F1" s="1609"/>
      <c r="G1" s="1609"/>
      <c r="I1" s="25"/>
      <c r="J1" s="1058"/>
      <c r="K1" s="1058"/>
      <c r="L1" s="1058"/>
      <c r="M1" s="1172"/>
      <c r="N1" s="990"/>
      <c r="O1" s="718"/>
      <c r="P1" s="991"/>
      <c r="V1" s="763"/>
      <c r="W1" s="1226"/>
      <c r="X1" s="1600" t="s">
        <v>340</v>
      </c>
      <c r="Y1" s="1601"/>
      <c r="Z1" s="1601"/>
      <c r="AA1" s="1602"/>
      <c r="AB1" s="1084">
        <v>8</v>
      </c>
    </row>
    <row r="2" spans="1:33" ht="19.149999999999999" customHeight="1">
      <c r="A2" s="1215" t="s">
        <v>1256</v>
      </c>
      <c r="B2" s="88"/>
      <c r="C2" s="1216"/>
      <c r="D2" s="1216"/>
      <c r="M2" s="979"/>
      <c r="N2" s="979"/>
      <c r="O2" s="38"/>
      <c r="P2" s="719"/>
      <c r="Q2" s="1610"/>
      <c r="R2" s="1610"/>
      <c r="S2" s="1610"/>
      <c r="T2" s="1610"/>
      <c r="U2" s="1551"/>
      <c r="V2" s="1551"/>
    </row>
    <row r="3" spans="1:33" ht="15.75">
      <c r="A3" s="1070"/>
      <c r="B3" s="1071"/>
      <c r="C3" s="1003"/>
      <c r="D3" s="1003"/>
      <c r="E3" s="1003"/>
      <c r="F3" s="1048">
        <v>0</v>
      </c>
      <c r="G3" s="1048">
        <v>1</v>
      </c>
      <c r="H3" s="1048">
        <v>2</v>
      </c>
      <c r="I3" s="1048">
        <v>3</v>
      </c>
      <c r="J3" s="1048">
        <v>4</v>
      </c>
      <c r="K3" s="1048">
        <v>5</v>
      </c>
      <c r="L3" s="1048">
        <v>6</v>
      </c>
      <c r="M3" s="1048">
        <v>7</v>
      </c>
      <c r="N3" s="1048">
        <v>8</v>
      </c>
      <c r="O3" s="1048">
        <v>9</v>
      </c>
      <c r="P3" s="1048">
        <v>10</v>
      </c>
      <c r="Q3" s="1048"/>
      <c r="R3" s="1048">
        <v>0</v>
      </c>
      <c r="S3" s="1048">
        <v>1</v>
      </c>
      <c r="T3" s="1048">
        <v>2</v>
      </c>
      <c r="U3" s="1048">
        <v>3</v>
      </c>
      <c r="V3" s="1048">
        <v>4</v>
      </c>
      <c r="W3" s="1048">
        <v>5</v>
      </c>
      <c r="X3" s="1048">
        <v>6</v>
      </c>
      <c r="Y3" s="1048">
        <v>7</v>
      </c>
      <c r="Z3" s="1048">
        <v>8</v>
      </c>
      <c r="AA3" s="1048">
        <v>9</v>
      </c>
      <c r="AB3" s="1048">
        <v>10</v>
      </c>
      <c r="AC3" s="694"/>
      <c r="AD3" s="1048"/>
      <c r="AF3" s="1048"/>
      <c r="AG3" s="1048"/>
    </row>
    <row r="4" spans="1:33">
      <c r="A4" s="1403"/>
      <c r="B4" s="1404"/>
      <c r="C4" s="1405"/>
      <c r="D4" s="1276" t="s">
        <v>43</v>
      </c>
      <c r="E4" s="1276" t="s">
        <v>44</v>
      </c>
      <c r="F4" s="980">
        <v>1999</v>
      </c>
      <c r="G4" s="980">
        <v>2000</v>
      </c>
      <c r="H4" s="980">
        <v>2001</v>
      </c>
      <c r="I4" s="980">
        <v>2002</v>
      </c>
      <c r="J4" s="980">
        <v>2003</v>
      </c>
      <c r="K4" s="980">
        <v>2004</v>
      </c>
      <c r="L4" s="980">
        <v>2005</v>
      </c>
      <c r="M4" s="980">
        <v>2006</v>
      </c>
      <c r="N4" s="980">
        <v>2007</v>
      </c>
      <c r="O4" s="980">
        <v>2008</v>
      </c>
      <c r="P4" s="980">
        <v>2009</v>
      </c>
      <c r="Q4" s="980">
        <v>2010</v>
      </c>
      <c r="R4" s="980">
        <v>2011</v>
      </c>
      <c r="S4" s="980">
        <v>2012</v>
      </c>
      <c r="T4" s="980">
        <v>2013</v>
      </c>
      <c r="U4" s="980">
        <v>2014</v>
      </c>
      <c r="V4" s="980">
        <v>2015</v>
      </c>
      <c r="W4" s="980">
        <v>2016</v>
      </c>
      <c r="X4" s="980">
        <v>2017</v>
      </c>
      <c r="Y4" s="980">
        <v>2018</v>
      </c>
      <c r="Z4" s="980">
        <v>2019</v>
      </c>
      <c r="AA4" s="980">
        <v>2020</v>
      </c>
      <c r="AB4" s="980">
        <v>2021</v>
      </c>
      <c r="AC4" s="694"/>
    </row>
    <row r="5" spans="1:33">
      <c r="A5" s="1213" t="s">
        <v>1409</v>
      </c>
      <c r="B5" s="1401"/>
      <c r="C5" s="1402"/>
      <c r="D5" s="1402"/>
      <c r="E5" s="1344"/>
      <c r="F5" s="1186"/>
      <c r="G5" s="1186"/>
      <c r="H5" s="1186"/>
      <c r="I5" s="1186"/>
      <c r="J5" s="1186"/>
      <c r="K5" s="1186"/>
      <c r="L5" s="1186"/>
      <c r="M5" s="1186"/>
      <c r="N5" s="1186"/>
      <c r="O5" s="1186"/>
      <c r="P5" s="1186"/>
      <c r="Q5" s="1186"/>
      <c r="R5" s="1186"/>
      <c r="S5" s="1186"/>
      <c r="T5" s="1186"/>
      <c r="U5" s="1186"/>
      <c r="V5" s="1186"/>
      <c r="W5" s="1186"/>
      <c r="X5" s="1186"/>
      <c r="Y5" s="1186"/>
      <c r="Z5" s="1186"/>
      <c r="AA5" s="1186"/>
      <c r="AB5" s="1186"/>
      <c r="AC5" s="694"/>
    </row>
    <row r="6" spans="1:33">
      <c r="A6" s="520">
        <v>8000</v>
      </c>
      <c r="B6" s="1075" t="s">
        <v>371</v>
      </c>
      <c r="C6" s="784"/>
      <c r="D6" s="784"/>
      <c r="E6" s="782"/>
      <c r="F6" s="126">
        <v>0.33</v>
      </c>
      <c r="G6" s="126">
        <v>0.33</v>
      </c>
      <c r="H6" s="126">
        <v>0.33</v>
      </c>
      <c r="I6" s="126">
        <v>0.33</v>
      </c>
      <c r="J6" s="126">
        <v>0.33</v>
      </c>
      <c r="K6" s="126">
        <v>0.33</v>
      </c>
      <c r="L6" s="126">
        <v>0.33</v>
      </c>
      <c r="M6" s="126">
        <v>0.33</v>
      </c>
      <c r="N6" s="126">
        <v>0.33</v>
      </c>
      <c r="O6" s="126">
        <v>0.33</v>
      </c>
      <c r="P6" s="126">
        <v>0.3</v>
      </c>
      <c r="Q6" s="126"/>
      <c r="R6" s="126">
        <v>0.3</v>
      </c>
      <c r="S6" s="126">
        <v>0.28000000000000003</v>
      </c>
      <c r="T6" s="126">
        <v>0.28000000000000003</v>
      </c>
      <c r="U6" s="126">
        <v>0.28000000000000003</v>
      </c>
      <c r="V6" s="126">
        <v>0.28000000000000003</v>
      </c>
      <c r="W6" s="126">
        <v>0.28000000000000003</v>
      </c>
      <c r="X6" s="126">
        <v>0.28000000000000003</v>
      </c>
      <c r="Y6" s="126">
        <v>0.28000000000000003</v>
      </c>
      <c r="Z6" s="126">
        <v>0.28000000000000003</v>
      </c>
      <c r="AA6" s="126">
        <v>0.28000000000000003</v>
      </c>
      <c r="AB6" s="126">
        <v>0.28000000000000003</v>
      </c>
      <c r="AC6" s="694"/>
      <c r="AD6" s="547"/>
    </row>
    <row r="7" spans="1:33">
      <c r="A7" s="43"/>
      <c r="B7" s="43"/>
      <c r="C7" s="43"/>
      <c r="D7" s="43"/>
      <c r="E7" s="783"/>
      <c r="F7" s="698"/>
      <c r="G7" s="698"/>
      <c r="H7" s="698"/>
      <c r="I7" s="698"/>
      <c r="J7" s="698"/>
      <c r="K7" s="698"/>
      <c r="L7" s="698"/>
      <c r="M7" s="698"/>
      <c r="N7" s="698"/>
      <c r="O7" s="698"/>
      <c r="P7" s="698"/>
      <c r="Q7" s="698"/>
      <c r="R7" s="698"/>
      <c r="S7" s="450"/>
      <c r="T7" s="450"/>
      <c r="U7" s="450"/>
      <c r="V7" s="450"/>
      <c r="W7" s="450"/>
      <c r="X7" s="450"/>
      <c r="Y7" s="450"/>
      <c r="Z7" s="450"/>
      <c r="AA7" s="450"/>
      <c r="AB7" s="450"/>
      <c r="AC7" s="694"/>
      <c r="AD7" s="547"/>
    </row>
    <row r="8" spans="1:33">
      <c r="A8" s="520">
        <v>3000</v>
      </c>
      <c r="B8" s="1075" t="s">
        <v>347</v>
      </c>
      <c r="C8" s="784"/>
      <c r="D8" s="784"/>
      <c r="E8" s="782"/>
      <c r="F8" s="547"/>
      <c r="G8" s="547"/>
      <c r="H8" s="547"/>
      <c r="I8" s="547"/>
      <c r="J8" s="547"/>
      <c r="K8" s="547"/>
      <c r="L8" s="547"/>
      <c r="M8" s="547"/>
      <c r="N8" s="547"/>
      <c r="O8" s="547"/>
      <c r="P8" s="547"/>
      <c r="Q8" s="547"/>
      <c r="R8" s="547"/>
      <c r="S8" s="1047"/>
      <c r="T8" s="1047"/>
      <c r="U8" s="1047"/>
      <c r="V8" s="1047"/>
      <c r="W8" s="1047"/>
      <c r="X8" s="1047"/>
      <c r="Y8" s="1047"/>
      <c r="Z8" s="1047"/>
      <c r="AA8" s="1047"/>
      <c r="AB8" s="1047"/>
      <c r="AC8" s="694"/>
      <c r="AD8" s="547"/>
    </row>
    <row r="9" spans="1:33">
      <c r="A9" s="34"/>
      <c r="B9" s="34"/>
      <c r="C9" s="613"/>
      <c r="D9" s="613"/>
      <c r="E9" s="1061" t="s">
        <v>372</v>
      </c>
      <c r="F9" s="616">
        <v>-543</v>
      </c>
      <c r="G9" s="616">
        <v>-1376</v>
      </c>
      <c r="H9" s="616">
        <v>-2023</v>
      </c>
      <c r="I9" s="616">
        <v>-1874</v>
      </c>
      <c r="J9" s="616">
        <v>-1906</v>
      </c>
      <c r="K9" s="616">
        <v>-2243</v>
      </c>
      <c r="L9" s="616">
        <v>-3333</v>
      </c>
      <c r="M9" s="616">
        <v>-3730</v>
      </c>
      <c r="N9" s="616">
        <v>-3057</v>
      </c>
      <c r="O9" s="616">
        <v>-2839</v>
      </c>
      <c r="P9" s="616">
        <v>-3239</v>
      </c>
      <c r="Q9" s="707">
        <v>-3024</v>
      </c>
      <c r="R9" s="707">
        <v>-6307</v>
      </c>
      <c r="S9" s="707">
        <v>-5931</v>
      </c>
      <c r="T9" s="707">
        <v>-7000</v>
      </c>
      <c r="U9" s="707">
        <v>-12000</v>
      </c>
      <c r="V9" s="707">
        <v>-10000</v>
      </c>
      <c r="W9" s="707">
        <v>-5000</v>
      </c>
      <c r="X9" s="707">
        <v>-3000</v>
      </c>
      <c r="Y9" s="707">
        <v>-2000</v>
      </c>
      <c r="Z9" s="707">
        <v>-2000</v>
      </c>
      <c r="AA9" s="707">
        <v>-3000</v>
      </c>
      <c r="AB9" s="707">
        <v>-2000</v>
      </c>
      <c r="AC9" s="694"/>
      <c r="AD9" s="547"/>
    </row>
    <row r="10" spans="1:33">
      <c r="A10" s="43"/>
      <c r="B10" s="978"/>
      <c r="C10" s="721"/>
      <c r="D10" s="721"/>
      <c r="E10" s="4"/>
      <c r="F10" s="698"/>
      <c r="G10" s="698"/>
      <c r="H10" s="698"/>
      <c r="I10" s="698"/>
      <c r="J10" s="698"/>
      <c r="K10" s="698"/>
      <c r="L10" s="698"/>
      <c r="M10" s="698"/>
      <c r="N10" s="698"/>
      <c r="O10" s="698"/>
      <c r="P10" s="698"/>
      <c r="Q10" s="698"/>
      <c r="R10" s="698"/>
      <c r="S10" s="698"/>
      <c r="T10" s="698"/>
      <c r="U10" s="698"/>
      <c r="V10" s="698"/>
      <c r="W10" s="698"/>
      <c r="X10" s="698"/>
      <c r="Y10" s="698"/>
      <c r="Z10" s="698"/>
      <c r="AA10" s="698"/>
      <c r="AB10" s="698"/>
      <c r="AC10" s="694"/>
      <c r="AD10" s="547"/>
    </row>
    <row r="11" spans="1:33">
      <c r="A11" s="44"/>
      <c r="B11" s="1075" t="s">
        <v>352</v>
      </c>
      <c r="C11" s="955"/>
      <c r="D11" s="955"/>
      <c r="F11" s="771"/>
      <c r="G11" s="694"/>
      <c r="H11" s="694"/>
      <c r="I11" s="694"/>
      <c r="J11" s="694"/>
      <c r="K11" s="694"/>
      <c r="L11" s="694"/>
      <c r="M11" s="694"/>
      <c r="N11" s="694"/>
      <c r="O11" s="694"/>
      <c r="P11" s="694"/>
      <c r="Q11" s="694"/>
      <c r="R11" s="694"/>
      <c r="S11" s="694"/>
      <c r="T11" s="694"/>
      <c r="U11" s="694"/>
      <c r="V11" s="694"/>
      <c r="W11" s="694"/>
      <c r="X11" s="694"/>
      <c r="Y11" s="694"/>
      <c r="Z11" s="694"/>
      <c r="AA11" s="694"/>
      <c r="AB11" s="604"/>
      <c r="AC11" s="694"/>
      <c r="AD11" s="547"/>
    </row>
    <row r="12" spans="1:33">
      <c r="A12" s="44"/>
      <c r="B12" s="1156"/>
      <c r="C12" s="1120"/>
      <c r="D12" s="1120"/>
      <c r="F12" s="771"/>
      <c r="G12" s="694"/>
      <c r="H12" s="694"/>
      <c r="I12" s="694"/>
      <c r="J12" s="694"/>
      <c r="K12" s="694"/>
      <c r="L12" s="694"/>
      <c r="M12" s="694"/>
      <c r="N12" s="694"/>
      <c r="O12" s="694"/>
      <c r="P12" s="694"/>
      <c r="Q12" s="694"/>
      <c r="R12" s="694"/>
      <c r="S12" s="694"/>
      <c r="T12" s="694"/>
      <c r="U12" s="694"/>
      <c r="V12" s="694"/>
      <c r="W12" s="694"/>
      <c r="X12" s="694"/>
      <c r="Y12" s="694"/>
      <c r="Z12" s="694"/>
      <c r="AA12" s="694"/>
      <c r="AB12" s="604"/>
      <c r="AC12" s="694"/>
      <c r="AD12" s="547"/>
    </row>
    <row r="13" spans="1:33">
      <c r="A13" s="1460" t="s">
        <v>1353</v>
      </c>
      <c r="B13" s="40" t="s">
        <v>1488</v>
      </c>
      <c r="C13" s="716"/>
      <c r="D13" s="716"/>
      <c r="F13" s="771"/>
      <c r="G13" s="694"/>
      <c r="H13" s="694"/>
      <c r="I13" s="694"/>
      <c r="J13" s="694"/>
      <c r="K13" s="694"/>
      <c r="L13" s="694"/>
      <c r="M13" s="694"/>
      <c r="N13" s="694"/>
      <c r="O13" s="694"/>
      <c r="P13" s="694"/>
      <c r="Q13" s="694"/>
      <c r="R13" s="694"/>
      <c r="S13" s="694"/>
      <c r="T13" s="694"/>
      <c r="U13" s="694"/>
      <c r="V13" s="694"/>
      <c r="W13" s="694"/>
      <c r="X13" s="694"/>
      <c r="Y13" s="694"/>
      <c r="Z13" s="694"/>
      <c r="AA13" s="694"/>
      <c r="AB13" s="604"/>
      <c r="AC13" s="694"/>
      <c r="AD13" s="547"/>
    </row>
    <row r="14" spans="1:33">
      <c r="A14" s="34"/>
      <c r="B14" s="1531"/>
      <c r="C14" s="34"/>
      <c r="D14" s="34"/>
      <c r="E14" s="34" t="s">
        <v>383</v>
      </c>
      <c r="F14" s="616" t="e">
        <v>#REF!</v>
      </c>
      <c r="G14" s="616" t="e">
        <v>#REF!</v>
      </c>
      <c r="H14" s="616" t="e">
        <v>#REF!</v>
      </c>
      <c r="I14" s="616" t="e">
        <v>#REF!</v>
      </c>
      <c r="J14" s="616" t="e">
        <v>#REF!</v>
      </c>
      <c r="K14" s="616" t="e">
        <v>#REF!</v>
      </c>
      <c r="L14" s="616" t="e">
        <v>#REF!</v>
      </c>
      <c r="M14" s="616" t="e">
        <v>#REF!</v>
      </c>
      <c r="N14" s="616" t="e">
        <v>#REF!</v>
      </c>
      <c r="O14" s="616" t="e">
        <v>#REF!</v>
      </c>
      <c r="P14" s="616" t="e">
        <v>#REF!</v>
      </c>
      <c r="Q14" s="1475">
        <v>7600</v>
      </c>
      <c r="R14" s="1476">
        <v>6000</v>
      </c>
      <c r="S14" s="1476">
        <v>6000</v>
      </c>
      <c r="T14" s="1476">
        <v>6000</v>
      </c>
      <c r="U14" s="1476">
        <v>6000</v>
      </c>
      <c r="V14" s="1476">
        <v>5000</v>
      </c>
      <c r="W14" s="1477">
        <v>6000</v>
      </c>
      <c r="X14" s="616">
        <v>6000</v>
      </c>
      <c r="Y14" s="616">
        <v>6000</v>
      </c>
      <c r="Z14" s="616">
        <v>6000</v>
      </c>
      <c r="AA14" s="616">
        <v>6000</v>
      </c>
      <c r="AB14" s="616">
        <v>6000</v>
      </c>
      <c r="AC14" s="1474" t="s">
        <v>1013</v>
      </c>
      <c r="AD14" s="547"/>
    </row>
    <row r="15" spans="1:33">
      <c r="A15" s="34"/>
      <c r="B15" s="1531"/>
      <c r="C15" s="34"/>
      <c r="D15" s="34"/>
      <c r="E15" s="604" t="s">
        <v>373</v>
      </c>
      <c r="F15" s="702" t="e">
        <v>#REF!</v>
      </c>
      <c r="G15" s="702" t="e">
        <v>#REF!</v>
      </c>
      <c r="H15" s="702" t="e">
        <v>#REF!</v>
      </c>
      <c r="I15" s="702" t="e">
        <v>#REF!</v>
      </c>
      <c r="J15" s="702" t="e">
        <v>#REF!</v>
      </c>
      <c r="K15" s="702" t="e">
        <v>#REF!</v>
      </c>
      <c r="L15" s="702" t="e">
        <v>#REF!</v>
      </c>
      <c r="M15" s="702" t="e">
        <v>#REF!</v>
      </c>
      <c r="N15" s="702" t="e">
        <v>#REF!</v>
      </c>
      <c r="O15" s="702" t="e">
        <v>#REF!</v>
      </c>
      <c r="P15" s="702" t="e">
        <v>#REF!</v>
      </c>
      <c r="Q15" s="1475">
        <v>-1355</v>
      </c>
      <c r="R15" s="1476">
        <v>-1456</v>
      </c>
      <c r="S15" s="1476">
        <v>-3000</v>
      </c>
      <c r="T15" s="1477">
        <v>-3000</v>
      </c>
      <c r="U15" s="702">
        <v>-3000</v>
      </c>
      <c r="V15" s="702">
        <v>-3000</v>
      </c>
      <c r="W15" s="702">
        <v>-3000</v>
      </c>
      <c r="X15" s="702">
        <v>-3000</v>
      </c>
      <c r="Y15" s="702">
        <v>-3000</v>
      </c>
      <c r="Z15" s="702">
        <v>-3000</v>
      </c>
      <c r="AA15" s="702">
        <v>-3000</v>
      </c>
      <c r="AB15" s="702">
        <v>-3000</v>
      </c>
      <c r="AC15" s="1474" t="s">
        <v>1013</v>
      </c>
      <c r="AD15" s="547"/>
    </row>
    <row r="16" spans="1:33">
      <c r="A16" s="34"/>
      <c r="B16" s="1531"/>
      <c r="C16" s="34"/>
      <c r="D16" s="34"/>
      <c r="E16" s="782" t="s">
        <v>374</v>
      </c>
      <c r="F16" s="616" t="e">
        <v>#REF!</v>
      </c>
      <c r="G16" s="616" t="e">
        <v>#REF!</v>
      </c>
      <c r="H16" s="616" t="e">
        <v>#REF!</v>
      </c>
      <c r="I16" s="616" t="e">
        <v>#REF!</v>
      </c>
      <c r="J16" s="616" t="e">
        <v>#REF!</v>
      </c>
      <c r="K16" s="616" t="e">
        <v>#REF!</v>
      </c>
      <c r="L16" s="616" t="e">
        <v>#REF!</v>
      </c>
      <c r="M16" s="616" t="e">
        <v>#REF!</v>
      </c>
      <c r="N16" s="616" t="e">
        <v>#REF!</v>
      </c>
      <c r="O16" s="616" t="e">
        <v>#REF!</v>
      </c>
      <c r="P16" s="616" t="e">
        <v>#REF!</v>
      </c>
      <c r="Q16" s="616">
        <v>6245</v>
      </c>
      <c r="R16" s="616">
        <v>4544</v>
      </c>
      <c r="S16" s="616">
        <v>3000</v>
      </c>
      <c r="T16" s="616">
        <v>3000</v>
      </c>
      <c r="U16" s="616">
        <v>3000</v>
      </c>
      <c r="V16" s="616">
        <v>2000</v>
      </c>
      <c r="W16" s="616">
        <v>3000</v>
      </c>
      <c r="X16" s="616">
        <v>3000</v>
      </c>
      <c r="Y16" s="616">
        <v>3000</v>
      </c>
      <c r="Z16" s="616">
        <v>3000</v>
      </c>
      <c r="AA16" s="616">
        <v>3000</v>
      </c>
      <c r="AB16" s="616">
        <v>3000</v>
      </c>
      <c r="AC16" s="694"/>
      <c r="AD16" s="547"/>
    </row>
    <row r="17" spans="1:30">
      <c r="A17" s="34"/>
      <c r="B17" s="1531"/>
      <c r="C17" s="1276" t="s">
        <v>375</v>
      </c>
      <c r="D17" s="1276"/>
      <c r="E17" s="782"/>
      <c r="F17" s="604"/>
      <c r="G17" s="604"/>
      <c r="H17" s="604"/>
      <c r="I17" s="604"/>
      <c r="J17" s="604"/>
      <c r="K17" s="794"/>
      <c r="L17" s="794"/>
      <c r="M17" s="794"/>
      <c r="N17" s="794"/>
      <c r="O17" s="794"/>
      <c r="P17" s="794"/>
      <c r="Q17" s="794"/>
      <c r="R17" s="794"/>
      <c r="S17" s="1206"/>
      <c r="T17" s="1206"/>
      <c r="U17" s="604"/>
      <c r="V17" s="604"/>
      <c r="W17" s="604"/>
      <c r="X17" s="604"/>
      <c r="Y17" s="604"/>
      <c r="Z17" s="604"/>
      <c r="AA17" s="604"/>
      <c r="AB17" s="604"/>
      <c r="AC17" s="694"/>
      <c r="AD17" s="547"/>
    </row>
    <row r="18" spans="1:30">
      <c r="A18" s="34"/>
      <c r="B18" s="1531"/>
      <c r="C18" s="1482">
        <v>0.5</v>
      </c>
      <c r="D18" s="1060"/>
      <c r="E18" s="604" t="s">
        <v>376</v>
      </c>
      <c r="F18" s="693" t="e">
        <v>#REF!</v>
      </c>
      <c r="G18" s="693" t="e">
        <v>#REF!</v>
      </c>
      <c r="H18" s="693" t="e">
        <v>#REF!</v>
      </c>
      <c r="I18" s="693" t="e">
        <v>#REF!</v>
      </c>
      <c r="J18" s="693" t="e">
        <v>#REF!</v>
      </c>
      <c r="K18" s="693" t="e">
        <v>#REF!</v>
      </c>
      <c r="L18" s="693" t="e">
        <v>#REF!</v>
      </c>
      <c r="M18" s="693" t="e">
        <v>#REF!</v>
      </c>
      <c r="N18" s="693" t="e">
        <v>#REF!</v>
      </c>
      <c r="O18" s="693" t="e">
        <v>#REF!</v>
      </c>
      <c r="P18" s="693" t="e">
        <v>#REF!</v>
      </c>
      <c r="Q18" s="693">
        <v>3122.5</v>
      </c>
      <c r="R18" s="693">
        <v>2272</v>
      </c>
      <c r="S18" s="693">
        <v>1500</v>
      </c>
      <c r="T18" s="693">
        <v>1500</v>
      </c>
      <c r="U18" s="693">
        <v>1500</v>
      </c>
      <c r="V18" s="693">
        <v>1000</v>
      </c>
      <c r="W18" s="693">
        <v>1500</v>
      </c>
      <c r="X18" s="693">
        <v>1500</v>
      </c>
      <c r="Y18" s="693">
        <v>1500</v>
      </c>
      <c r="Z18" s="693">
        <v>1500</v>
      </c>
      <c r="AA18" s="693">
        <v>1500</v>
      </c>
      <c r="AB18" s="693">
        <v>1500</v>
      </c>
      <c r="AC18" s="694"/>
      <c r="AD18" s="547"/>
    </row>
    <row r="19" spans="1:30">
      <c r="B19" s="1026"/>
      <c r="C19" s="968">
        <v>0.5</v>
      </c>
      <c r="D19" s="796"/>
      <c r="E19" s="604" t="s">
        <v>377</v>
      </c>
      <c r="F19" s="694" t="e">
        <v>#REF!</v>
      </c>
      <c r="G19" s="694" t="e">
        <v>#REF!</v>
      </c>
      <c r="H19" s="694" t="e">
        <v>#REF!</v>
      </c>
      <c r="I19" s="694" t="e">
        <v>#REF!</v>
      </c>
      <c r="J19" s="694" t="e">
        <v>#REF!</v>
      </c>
      <c r="K19" s="694" t="e">
        <v>#REF!</v>
      </c>
      <c r="L19" s="694" t="e">
        <v>#REF!</v>
      </c>
      <c r="M19" s="694" t="e">
        <v>#REF!</v>
      </c>
      <c r="N19" s="694" t="e">
        <v>#REF!</v>
      </c>
      <c r="O19" s="694" t="e">
        <v>#REF!</v>
      </c>
      <c r="P19" s="694" t="e">
        <v>#REF!</v>
      </c>
      <c r="Q19" s="1113">
        <v>3122.5</v>
      </c>
      <c r="R19" s="1113">
        <v>2272</v>
      </c>
      <c r="S19" s="1113">
        <v>1500</v>
      </c>
      <c r="T19" s="1113">
        <v>1500</v>
      </c>
      <c r="U19" s="1113">
        <v>1500</v>
      </c>
      <c r="V19" s="1113">
        <v>1000</v>
      </c>
      <c r="W19" s="1113">
        <v>1500</v>
      </c>
      <c r="X19" s="1113">
        <v>1500</v>
      </c>
      <c r="Y19" s="1113">
        <v>1500</v>
      </c>
      <c r="Z19" s="1113">
        <v>1500</v>
      </c>
      <c r="AA19" s="1113">
        <v>1500</v>
      </c>
      <c r="AB19" s="1113">
        <v>1500</v>
      </c>
      <c r="AC19" s="694"/>
      <c r="AD19" s="547"/>
    </row>
    <row r="20" spans="1:30">
      <c r="A20" s="34"/>
      <c r="B20" s="1531"/>
      <c r="C20" s="34"/>
      <c r="D20" s="34"/>
      <c r="E20" s="604" t="s">
        <v>378</v>
      </c>
      <c r="F20" s="794" t="e">
        <v>#REF!</v>
      </c>
      <c r="G20" s="794" t="e">
        <v>#REF!</v>
      </c>
      <c r="H20" s="794" t="e">
        <v>#REF!</v>
      </c>
      <c r="I20" s="794" t="e">
        <v>#REF!</v>
      </c>
      <c r="J20" s="794" t="e">
        <v>#REF!</v>
      </c>
      <c r="K20" s="794" t="e">
        <v>#REF!</v>
      </c>
      <c r="L20" s="794" t="e">
        <v>#REF!</v>
      </c>
      <c r="M20" s="794" t="e">
        <v>#REF!</v>
      </c>
      <c r="N20" s="794" t="e">
        <v>#REF!</v>
      </c>
      <c r="O20" s="794" t="e">
        <v>#REF!</v>
      </c>
      <c r="P20" s="794" t="e">
        <v>#REF!</v>
      </c>
      <c r="Q20" s="794">
        <v>5.7419999999999999E-2</v>
      </c>
      <c r="R20" s="794">
        <v>5.2770000000000004E-2</v>
      </c>
      <c r="S20" s="794">
        <v>4.2199999999999994E-2</v>
      </c>
      <c r="T20" s="794">
        <v>3.6150000000000002E-2</v>
      </c>
      <c r="U20" s="794">
        <v>4.1250000000000002E-2</v>
      </c>
      <c r="V20" s="794">
        <v>4.095E-2</v>
      </c>
      <c r="W20" s="794">
        <v>3.1399999999999997E-2</v>
      </c>
      <c r="X20" s="794">
        <v>2.6399999999999996E-2</v>
      </c>
      <c r="Y20" s="794">
        <v>2.835E-2</v>
      </c>
      <c r="Z20" s="794">
        <v>2.2649999999999997E-2</v>
      </c>
      <c r="AA20" s="794">
        <v>1.265E-2</v>
      </c>
      <c r="AB20" s="794">
        <v>1.3300000000000001E-2</v>
      </c>
      <c r="AC20" s="694"/>
      <c r="AD20" s="547"/>
    </row>
    <row r="21" spans="1:30">
      <c r="A21" s="34"/>
      <c r="B21" s="1531"/>
      <c r="C21" s="34"/>
      <c r="D21" s="34"/>
      <c r="E21" s="604" t="s">
        <v>379</v>
      </c>
      <c r="F21" s="967">
        <v>0.02</v>
      </c>
      <c r="G21" s="967">
        <v>0.02</v>
      </c>
      <c r="H21" s="967">
        <v>0.02</v>
      </c>
      <c r="I21" s="967">
        <v>0.02</v>
      </c>
      <c r="J21" s="967">
        <v>0.02</v>
      </c>
      <c r="K21" s="967">
        <v>0.02</v>
      </c>
      <c r="L21" s="967">
        <v>0.02</v>
      </c>
      <c r="M21" s="967">
        <v>0.02</v>
      </c>
      <c r="N21" s="967">
        <v>0.02</v>
      </c>
      <c r="O21" s="967">
        <v>0.02</v>
      </c>
      <c r="P21" s="967">
        <v>0.02</v>
      </c>
      <c r="Q21" s="967">
        <v>0.02</v>
      </c>
      <c r="R21" s="967">
        <v>0.02</v>
      </c>
      <c r="S21" s="967">
        <v>0.02</v>
      </c>
      <c r="T21" s="967">
        <v>0.02</v>
      </c>
      <c r="U21" s="967">
        <v>0.02</v>
      </c>
      <c r="V21" s="967">
        <v>0.02</v>
      </c>
      <c r="W21" s="967">
        <v>0.02</v>
      </c>
      <c r="X21" s="967">
        <v>0.02</v>
      </c>
      <c r="Y21" s="967">
        <v>0.02</v>
      </c>
      <c r="Z21" s="967">
        <v>0.02</v>
      </c>
      <c r="AA21" s="967">
        <v>0.02</v>
      </c>
      <c r="AB21" s="967">
        <v>0.02</v>
      </c>
      <c r="AC21" s="694"/>
      <c r="AD21" s="547"/>
    </row>
    <row r="22" spans="1:30">
      <c r="A22" s="34"/>
      <c r="B22" s="1531"/>
      <c r="C22" s="34"/>
      <c r="D22" s="34"/>
      <c r="E22" s="782" t="s">
        <v>380</v>
      </c>
      <c r="F22" s="976" t="e">
        <v>#REF!</v>
      </c>
      <c r="G22" s="976" t="e">
        <v>#REF!</v>
      </c>
      <c r="H22" s="976" t="e">
        <v>#REF!</v>
      </c>
      <c r="I22" s="976" t="e">
        <v>#REF!</v>
      </c>
      <c r="J22" s="976" t="e">
        <v>#REF!</v>
      </c>
      <c r="K22" s="976" t="e">
        <v>#REF!</v>
      </c>
      <c r="L22" s="976" t="e">
        <v>#REF!</v>
      </c>
      <c r="M22" s="976" t="e">
        <v>#REF!</v>
      </c>
      <c r="N22" s="976" t="e">
        <v>#REF!</v>
      </c>
      <c r="O22" s="976" t="e">
        <v>#REF!</v>
      </c>
      <c r="P22" s="976" t="e">
        <v>#REF!</v>
      </c>
      <c r="Q22" s="1324">
        <v>7.7420000000000003E-2</v>
      </c>
      <c r="R22" s="1324">
        <v>7.2770000000000001E-2</v>
      </c>
      <c r="S22" s="1324">
        <v>6.2199999999999991E-2</v>
      </c>
      <c r="T22" s="1324">
        <v>5.6150000000000005E-2</v>
      </c>
      <c r="U22" s="1324">
        <v>6.1249999999999999E-2</v>
      </c>
      <c r="V22" s="1324">
        <v>6.0950000000000004E-2</v>
      </c>
      <c r="W22" s="1324">
        <v>5.1400000000000001E-2</v>
      </c>
      <c r="X22" s="1324">
        <v>4.6399999999999997E-2</v>
      </c>
      <c r="Y22" s="1324">
        <v>4.8350000000000004E-2</v>
      </c>
      <c r="Z22" s="1324">
        <v>4.2649999999999993E-2</v>
      </c>
      <c r="AA22" s="1324">
        <v>3.2649999999999998E-2</v>
      </c>
      <c r="AB22" s="1324">
        <v>3.3300000000000003E-2</v>
      </c>
      <c r="AC22" s="694"/>
      <c r="AD22" s="547"/>
    </row>
    <row r="23" spans="1:30">
      <c r="B23" s="1531"/>
      <c r="C23" s="34"/>
      <c r="D23" s="34"/>
      <c r="E23" s="1323" t="s">
        <v>381</v>
      </c>
      <c r="F23" s="1324" t="e">
        <v>#REF!</v>
      </c>
      <c r="G23" s="1324" t="e">
        <v>#REF!</v>
      </c>
      <c r="H23" s="1324" t="e">
        <v>#REF!</v>
      </c>
      <c r="I23" s="1324" t="e">
        <v>#REF!</v>
      </c>
      <c r="J23" s="1324" t="e">
        <v>#REF!</v>
      </c>
      <c r="K23" s="1324" t="e">
        <v>#REF!</v>
      </c>
      <c r="L23" s="1324" t="e">
        <v>#REF!</v>
      </c>
      <c r="M23" s="1324" t="e">
        <v>#REF!</v>
      </c>
      <c r="N23" s="1324" t="e">
        <v>#REF!</v>
      </c>
      <c r="O23" s="1324" t="e">
        <v>#REF!</v>
      </c>
      <c r="P23" s="1324" t="e">
        <v>#REF!</v>
      </c>
      <c r="Q23" s="1324">
        <v>6.1669333333333333E-2</v>
      </c>
      <c r="R23" s="1324">
        <v>5.7372166666666675E-2</v>
      </c>
      <c r="S23" s="1324">
        <v>5.0796666666666671E-2</v>
      </c>
      <c r="T23" s="1324">
        <v>4.3706666666666665E-2</v>
      </c>
      <c r="U23" s="1324">
        <v>3.9866666666666668E-2</v>
      </c>
      <c r="V23" s="1324">
        <v>3.9450000000000006E-2</v>
      </c>
      <c r="W23" s="1324">
        <v>3.7866666666666667E-2</v>
      </c>
      <c r="X23" s="1324">
        <v>3.2916666666666664E-2</v>
      </c>
      <c r="Y23" s="1324">
        <v>2.8716666666666661E-2</v>
      </c>
      <c r="Z23" s="1324">
        <v>2.5799999999999997E-2</v>
      </c>
      <c r="AA23" s="1324">
        <v>2.1216666666666665E-2</v>
      </c>
      <c r="AB23" s="1324">
        <v>1.6199999999999999E-2</v>
      </c>
      <c r="AC23" s="694"/>
      <c r="AD23" s="547"/>
    </row>
    <row r="24" spans="1:30">
      <c r="A24" s="520">
        <v>3050</v>
      </c>
      <c r="B24" s="955" t="s">
        <v>338</v>
      </c>
      <c r="C24" s="585"/>
      <c r="D24" s="955"/>
      <c r="E24" s="783" t="s">
        <v>382</v>
      </c>
      <c r="F24" s="767" t="e">
        <v>#REF!</v>
      </c>
      <c r="G24" s="767" t="e">
        <v>#REF!</v>
      </c>
      <c r="H24" s="767" t="e">
        <v>#REF!</v>
      </c>
      <c r="I24" s="767" t="e">
        <v>#REF!</v>
      </c>
      <c r="J24" s="767" t="e">
        <v>#REF!</v>
      </c>
      <c r="K24" s="767" t="e">
        <v>#REF!</v>
      </c>
      <c r="L24" s="767" t="e">
        <v>#REF!</v>
      </c>
      <c r="M24" s="767" t="e">
        <v>#REF!</v>
      </c>
      <c r="N24" s="767" t="e">
        <v>#REF!</v>
      </c>
      <c r="O24" s="767" t="e">
        <v>#REF!</v>
      </c>
      <c r="P24" s="767" t="e">
        <v>#REF!</v>
      </c>
      <c r="Q24" s="1165">
        <v>50632.945602352331</v>
      </c>
      <c r="R24" s="1165">
        <v>39601.084149398805</v>
      </c>
      <c r="S24" s="1165">
        <v>29529.496686134258</v>
      </c>
      <c r="T24" s="1165">
        <v>34319.707138499085</v>
      </c>
      <c r="U24" s="1165">
        <v>37625.418060200667</v>
      </c>
      <c r="V24" s="1165">
        <v>25348.542458808613</v>
      </c>
      <c r="W24" s="1165">
        <v>39612.67605633803</v>
      </c>
      <c r="X24" s="1165">
        <v>45569.620253164561</v>
      </c>
      <c r="Y24" s="1165">
        <v>52234.474753337214</v>
      </c>
      <c r="Z24" s="1165">
        <v>58139.534883720939</v>
      </c>
      <c r="AA24" s="1165">
        <v>70699.135899450121</v>
      </c>
      <c r="AB24" s="1165">
        <v>92592.592592592599</v>
      </c>
      <c r="AC24" s="694"/>
      <c r="AD24" s="547"/>
    </row>
    <row r="25" spans="1:30">
      <c r="B25" s="1531"/>
      <c r="C25" s="34"/>
      <c r="D25" s="34"/>
      <c r="E25" s="782"/>
      <c r="F25" s="797"/>
      <c r="G25" s="797"/>
      <c r="H25" s="797"/>
      <c r="I25" s="797"/>
      <c r="J25" s="797"/>
      <c r="K25" s="797"/>
      <c r="L25" s="797"/>
      <c r="M25" s="797"/>
      <c r="N25" s="797"/>
      <c r="O25" s="797"/>
      <c r="P25" s="797"/>
      <c r="Q25" s="1324"/>
      <c r="R25" s="1324"/>
      <c r="S25" s="1324"/>
      <c r="T25" s="1324"/>
      <c r="U25" s="797"/>
      <c r="V25" s="797"/>
      <c r="W25" s="797"/>
      <c r="X25" s="797"/>
      <c r="Y25" s="797"/>
      <c r="Z25" s="797"/>
      <c r="AA25" s="797"/>
      <c r="AB25" s="797"/>
      <c r="AC25" s="694"/>
      <c r="AD25" s="547"/>
    </row>
    <row r="26" spans="1:30">
      <c r="E26" s="604" t="s">
        <v>383</v>
      </c>
      <c r="F26" s="693" t="e">
        <v>#REF!</v>
      </c>
      <c r="G26" s="693" t="e">
        <v>#REF!</v>
      </c>
      <c r="H26" s="693" t="e">
        <v>#REF!</v>
      </c>
      <c r="I26" s="693" t="e">
        <v>#REF!</v>
      </c>
      <c r="J26" s="693" t="e">
        <v>#REF!</v>
      </c>
      <c r="K26" s="693" t="e">
        <v>#REF!</v>
      </c>
      <c r="L26" s="693" t="e">
        <v>#REF!</v>
      </c>
      <c r="M26" s="693" t="e">
        <v>#REF!</v>
      </c>
      <c r="N26" s="693" t="e">
        <v>#REF!</v>
      </c>
      <c r="O26" s="693" t="e">
        <v>#REF!</v>
      </c>
      <c r="P26" s="693" t="e">
        <v>#REF!</v>
      </c>
      <c r="Q26" s="693"/>
      <c r="R26" s="693">
        <v>2271.9999999999995</v>
      </c>
      <c r="S26" s="693">
        <v>1500</v>
      </c>
      <c r="T26" s="693">
        <v>1499.9999999999998</v>
      </c>
      <c r="U26" s="693">
        <v>1500</v>
      </c>
      <c r="V26" s="693">
        <v>999.99999999999977</v>
      </c>
      <c r="W26" s="693">
        <v>1500</v>
      </c>
      <c r="X26" s="693">
        <v>1499.9999999999998</v>
      </c>
      <c r="Y26" s="693">
        <v>1499.9999999999993</v>
      </c>
      <c r="Z26" s="693">
        <v>1499.9999999999989</v>
      </c>
      <c r="AA26" s="693">
        <v>1500.0000000000002</v>
      </c>
      <c r="AB26" s="693">
        <v>1500.0000000000007</v>
      </c>
      <c r="AC26" s="694"/>
      <c r="AD26" s="547"/>
    </row>
    <row r="27" spans="1:30">
      <c r="A27" s="520">
        <v>3060</v>
      </c>
      <c r="B27" s="955" t="s">
        <v>1492</v>
      </c>
      <c r="C27" s="955"/>
      <c r="D27" s="955"/>
      <c r="E27" s="782" t="s">
        <v>385</v>
      </c>
      <c r="F27" s="798">
        <v>0.13114799999999999</v>
      </c>
      <c r="G27" s="798">
        <v>6.5883284326039016E-2</v>
      </c>
      <c r="H27" s="798">
        <v>7.6616420345053921E-2</v>
      </c>
      <c r="I27" s="798">
        <v>7.9337546019401281E-2</v>
      </c>
      <c r="J27" s="798">
        <v>8.6981481552370801E-2</v>
      </c>
      <c r="K27" s="798">
        <v>6.1538144497952578E-2</v>
      </c>
      <c r="L27" s="798">
        <v>4.8708254744835817E-2</v>
      </c>
      <c r="M27" s="798">
        <v>5.0151441418649786E-2</v>
      </c>
      <c r="N27" s="798">
        <v>7.1215361231280611E-2</v>
      </c>
      <c r="O27" s="798">
        <v>8.9963816728084262E-2</v>
      </c>
      <c r="P27" s="798">
        <v>5.2894913016052002E-2</v>
      </c>
      <c r="Q27" s="1325"/>
      <c r="R27" s="1325">
        <v>5.0357941593668167E-2</v>
      </c>
      <c r="S27" s="1325">
        <v>4.3396134731418345E-2</v>
      </c>
      <c r="T27" s="1325">
        <v>4.6985707264881896E-2</v>
      </c>
      <c r="U27" s="798">
        <v>4.1698447138906615E-2</v>
      </c>
      <c r="V27" s="798">
        <v>3.1759158603281441E-2</v>
      </c>
      <c r="W27" s="798">
        <v>4.6181399742378705E-2</v>
      </c>
      <c r="X27" s="798">
        <v>3.5218585668314879E-2</v>
      </c>
      <c r="Y27" s="798">
        <v>3.0673562285920299E-2</v>
      </c>
      <c r="Z27" s="798">
        <v>2.7180311831244242E-2</v>
      </c>
      <c r="AA27" s="798">
        <v>2.3284934420418294E-2</v>
      </c>
      <c r="AB27" s="798">
        <v>1.8372026726057915E-2</v>
      </c>
      <c r="AC27" s="694"/>
      <c r="AD27" s="547"/>
    </row>
    <row r="28" spans="1:30">
      <c r="A28" s="34"/>
      <c r="B28" s="1531"/>
      <c r="C28" s="34"/>
      <c r="D28" s="34"/>
      <c r="E28" s="1061" t="s">
        <v>93</v>
      </c>
      <c r="F28" s="693" t="e">
        <v>#REF!</v>
      </c>
      <c r="G28" s="693" t="e">
        <v>#REF!</v>
      </c>
      <c r="H28" s="693" t="e">
        <v>#REF!</v>
      </c>
      <c r="I28" s="693" t="e">
        <v>#REF!</v>
      </c>
      <c r="J28" s="693" t="e">
        <v>#REF!</v>
      </c>
      <c r="K28" s="693" t="e">
        <v>#REF!</v>
      </c>
      <c r="L28" s="693" t="e">
        <v>#REF!</v>
      </c>
      <c r="M28" s="693" t="e">
        <v>#REF!</v>
      </c>
      <c r="N28" s="693" t="e">
        <v>#REF!</v>
      </c>
      <c r="O28" s="693" t="e">
        <v>#REF!</v>
      </c>
      <c r="P28" s="693" t="e">
        <v>#REF!</v>
      </c>
      <c r="Q28" s="693"/>
      <c r="R28" s="693">
        <v>0</v>
      </c>
      <c r="S28" s="693">
        <v>0</v>
      </c>
      <c r="T28" s="693">
        <v>0</v>
      </c>
      <c r="U28" s="693">
        <v>0</v>
      </c>
      <c r="V28" s="693">
        <v>0</v>
      </c>
      <c r="W28" s="693">
        <v>0</v>
      </c>
      <c r="X28" s="693">
        <v>0</v>
      </c>
      <c r="Y28" s="693">
        <v>0</v>
      </c>
      <c r="Z28" s="693">
        <v>0</v>
      </c>
      <c r="AA28" s="693">
        <v>0</v>
      </c>
      <c r="AB28" s="693">
        <v>0</v>
      </c>
      <c r="AC28" s="694"/>
      <c r="AD28" s="547"/>
    </row>
    <row r="29" spans="1:30">
      <c r="A29" s="44"/>
      <c r="B29" s="1075" t="s">
        <v>352</v>
      </c>
      <c r="C29" s="955"/>
      <c r="D29" s="955"/>
      <c r="E29" s="1061"/>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4"/>
      <c r="AD29" s="547"/>
    </row>
    <row r="30" spans="1:30">
      <c r="A30" s="1460" t="s">
        <v>1354</v>
      </c>
      <c r="B30" s="1156" t="s">
        <v>1358</v>
      </c>
      <c r="C30" s="1120"/>
      <c r="D30" s="1120"/>
      <c r="E30" s="1107" t="s">
        <v>215</v>
      </c>
      <c r="F30" s="702"/>
      <c r="G30" s="43"/>
      <c r="H30" s="34"/>
      <c r="I30" s="616"/>
      <c r="J30" s="616"/>
      <c r="K30" s="616"/>
      <c r="L30" s="616"/>
      <c r="M30" s="616"/>
      <c r="N30" s="616"/>
      <c r="O30" s="616"/>
      <c r="P30" s="616"/>
      <c r="Q30" s="631" t="s">
        <v>335</v>
      </c>
      <c r="R30" s="631" t="s">
        <v>335</v>
      </c>
      <c r="S30" s="631" t="s">
        <v>335</v>
      </c>
      <c r="T30" s="631" t="s">
        <v>335</v>
      </c>
      <c r="U30" s="631" t="s">
        <v>335</v>
      </c>
      <c r="V30" s="631" t="s">
        <v>335</v>
      </c>
      <c r="W30" s="631" t="s">
        <v>335</v>
      </c>
      <c r="X30" s="616">
        <v>75000</v>
      </c>
      <c r="Y30" s="616">
        <v>60000</v>
      </c>
      <c r="Z30" s="616">
        <v>60000</v>
      </c>
      <c r="AA30" s="616">
        <v>61000</v>
      </c>
      <c r="AB30" s="760">
        <v>67000</v>
      </c>
    </row>
    <row r="31" spans="1:30">
      <c r="A31" s="1406"/>
      <c r="B31" s="1156"/>
      <c r="C31" s="1120"/>
      <c r="D31" s="1120"/>
      <c r="E31" s="1108" t="s">
        <v>212</v>
      </c>
      <c r="F31" s="616"/>
      <c r="G31" s="34"/>
      <c r="H31" s="34"/>
      <c r="I31" s="702"/>
      <c r="J31" s="702"/>
      <c r="K31" s="702"/>
      <c r="L31" s="702"/>
      <c r="M31" s="702"/>
      <c r="N31" s="702"/>
      <c r="O31" s="702"/>
      <c r="P31" s="702"/>
      <c r="Q31" s="700" t="s">
        <v>335</v>
      </c>
      <c r="R31" s="700" t="s">
        <v>335</v>
      </c>
      <c r="S31" s="700" t="s">
        <v>335</v>
      </c>
      <c r="T31" s="700" t="s">
        <v>335</v>
      </c>
      <c r="U31" s="700" t="s">
        <v>335</v>
      </c>
      <c r="V31" s="700" t="s">
        <v>335</v>
      </c>
      <c r="W31" s="700" t="s">
        <v>335</v>
      </c>
      <c r="X31" s="702">
        <v>-32000</v>
      </c>
      <c r="Y31" s="702">
        <v>-28000</v>
      </c>
      <c r="Z31" s="702">
        <v>-31000</v>
      </c>
      <c r="AA31" s="702">
        <v>-34000</v>
      </c>
      <c r="AB31" s="699">
        <v>-38000</v>
      </c>
    </row>
    <row r="32" spans="1:30">
      <c r="A32" s="1406"/>
      <c r="B32" s="1262"/>
      <c r="C32" s="1134"/>
      <c r="D32" s="1134"/>
      <c r="E32" s="721" t="s">
        <v>216</v>
      </c>
      <c r="F32" s="702"/>
      <c r="G32" s="43"/>
      <c r="H32" s="43"/>
      <c r="I32" s="702"/>
      <c r="J32" s="702"/>
      <c r="K32" s="702"/>
      <c r="L32" s="702"/>
      <c r="M32" s="702"/>
      <c r="N32" s="702"/>
      <c r="O32" s="702"/>
      <c r="P32" s="702"/>
      <c r="Q32" s="700" t="s">
        <v>335</v>
      </c>
      <c r="R32" s="700" t="s">
        <v>335</v>
      </c>
      <c r="S32" s="700" t="s">
        <v>335</v>
      </c>
      <c r="T32" s="700" t="s">
        <v>335</v>
      </c>
      <c r="U32" s="700" t="s">
        <v>335</v>
      </c>
      <c r="V32" s="700" t="s">
        <v>335</v>
      </c>
      <c r="W32" s="700" t="s">
        <v>335</v>
      </c>
      <c r="X32" s="723">
        <v>43000</v>
      </c>
      <c r="Y32" s="723">
        <v>32000</v>
      </c>
      <c r="Z32" s="723">
        <v>29000</v>
      </c>
      <c r="AA32" s="723">
        <v>27000</v>
      </c>
      <c r="AB32" s="723">
        <v>29000</v>
      </c>
    </row>
    <row r="33" spans="1:30">
      <c r="A33" s="520">
        <v>3120</v>
      </c>
      <c r="B33" s="1075" t="s">
        <v>395</v>
      </c>
      <c r="C33" s="1027"/>
      <c r="D33" s="1027"/>
      <c r="E33" s="613"/>
      <c r="F33" s="616"/>
      <c r="G33" s="616"/>
      <c r="H33" s="616"/>
      <c r="I33" s="616"/>
      <c r="J33" s="616"/>
      <c r="K33" s="616"/>
      <c r="L33" s="616"/>
      <c r="M33" s="616"/>
      <c r="S33" s="616"/>
      <c r="T33" s="616"/>
      <c r="U33" s="616"/>
      <c r="V33" s="616"/>
      <c r="W33" s="616"/>
      <c r="X33" s="616"/>
      <c r="Y33" s="616"/>
      <c r="Z33" s="616"/>
      <c r="AA33" s="616"/>
      <c r="AB33" s="604"/>
      <c r="AC33" s="694"/>
      <c r="AD33" s="547"/>
    </row>
    <row r="34" spans="1:30">
      <c r="A34" s="1416"/>
      <c r="B34" s="103"/>
      <c r="C34" s="34" t="s">
        <v>1178</v>
      </c>
      <c r="E34" s="34" t="s">
        <v>57</v>
      </c>
      <c r="F34" s="694">
        <v>0</v>
      </c>
      <c r="G34" s="694">
        <v>0</v>
      </c>
      <c r="H34" s="694">
        <v>0</v>
      </c>
      <c r="I34" s="694">
        <v>0</v>
      </c>
      <c r="J34" s="694">
        <v>0</v>
      </c>
      <c r="K34" s="694">
        <v>0</v>
      </c>
      <c r="L34" s="694">
        <v>0</v>
      </c>
      <c r="M34" s="694">
        <v>0</v>
      </c>
      <c r="N34" s="694">
        <v>0</v>
      </c>
      <c r="O34" s="694">
        <v>0</v>
      </c>
      <c r="P34" s="694">
        <v>0</v>
      </c>
      <c r="Q34" s="1113">
        <v>0</v>
      </c>
      <c r="R34" s="1113">
        <v>0</v>
      </c>
      <c r="S34" s="1113">
        <v>0</v>
      </c>
      <c r="T34" s="1113">
        <v>0</v>
      </c>
      <c r="U34" s="1113">
        <v>0</v>
      </c>
      <c r="V34" s="1113">
        <v>0</v>
      </c>
      <c r="W34" s="1113">
        <v>0</v>
      </c>
      <c r="X34" s="1113">
        <v>0</v>
      </c>
      <c r="Y34" s="1113">
        <v>0</v>
      </c>
      <c r="Z34" s="1113">
        <v>165000</v>
      </c>
      <c r="AA34" s="1113">
        <v>0</v>
      </c>
      <c r="AB34" s="1113">
        <v>0</v>
      </c>
      <c r="AC34" s="694"/>
      <c r="AD34" s="547"/>
    </row>
    <row r="35" spans="1:30">
      <c r="A35" s="1416"/>
      <c r="B35" s="103"/>
      <c r="C35" s="613"/>
      <c r="D35" s="613"/>
      <c r="E35" s="34" t="s">
        <v>1433</v>
      </c>
      <c r="F35" s="694"/>
      <c r="G35" s="694"/>
      <c r="H35" s="694"/>
      <c r="I35" s="694"/>
      <c r="J35" s="694"/>
      <c r="K35" s="694"/>
      <c r="L35" s="694"/>
      <c r="M35" s="694"/>
      <c r="N35" s="694"/>
      <c r="O35" s="694"/>
      <c r="P35" s="694"/>
      <c r="Q35" s="695"/>
      <c r="R35" s="1124"/>
      <c r="S35" s="1124"/>
      <c r="T35" s="1124"/>
      <c r="U35" s="1124"/>
      <c r="V35" s="1124"/>
      <c r="W35" s="1124"/>
      <c r="X35" s="1124"/>
      <c r="Y35" s="1124"/>
      <c r="Z35" s="1124">
        <v>5000</v>
      </c>
      <c r="AA35" s="1124"/>
      <c r="AB35" s="1124"/>
      <c r="AC35" s="694"/>
      <c r="AD35" s="547"/>
    </row>
    <row r="36" spans="1:30">
      <c r="A36" s="1416"/>
      <c r="B36" s="103"/>
      <c r="C36" s="613"/>
      <c r="D36" s="613"/>
      <c r="E36" s="34" t="s">
        <v>128</v>
      </c>
      <c r="F36" s="694"/>
      <c r="G36" s="694"/>
      <c r="H36" s="694"/>
      <c r="I36" s="694"/>
      <c r="J36" s="694"/>
      <c r="K36" s="694"/>
      <c r="L36" s="694"/>
      <c r="M36" s="694"/>
      <c r="N36" s="694"/>
      <c r="O36" s="694"/>
      <c r="P36" s="694"/>
      <c r="Q36" s="694"/>
      <c r="R36" s="1113"/>
      <c r="S36" s="1113"/>
      <c r="T36" s="1113"/>
      <c r="U36" s="1113"/>
      <c r="V36" s="1113"/>
      <c r="W36" s="1113"/>
      <c r="X36" s="1113"/>
      <c r="Y36" s="1113"/>
      <c r="Z36" s="1113">
        <v>170000</v>
      </c>
      <c r="AA36" s="1113"/>
      <c r="AB36" s="1113"/>
      <c r="AC36" s="694"/>
      <c r="AD36" s="547"/>
    </row>
    <row r="37" spans="1:30">
      <c r="A37" s="1416"/>
      <c r="B37" s="103"/>
      <c r="C37" s="613"/>
      <c r="D37" s="613"/>
      <c r="E37" s="34"/>
      <c r="F37" s="694"/>
      <c r="G37" s="694"/>
      <c r="H37" s="694"/>
      <c r="I37" s="694"/>
      <c r="J37" s="694"/>
      <c r="K37" s="694"/>
      <c r="L37" s="694"/>
      <c r="M37" s="694"/>
      <c r="N37" s="694"/>
      <c r="O37" s="694"/>
      <c r="P37" s="694"/>
      <c r="Q37" s="694"/>
      <c r="R37" s="1113"/>
      <c r="S37" s="1113"/>
      <c r="T37" s="1113"/>
      <c r="U37" s="1113"/>
      <c r="V37" s="1113"/>
      <c r="W37" s="1113"/>
      <c r="X37" s="1113"/>
      <c r="Y37" s="1113"/>
      <c r="Z37" s="1113"/>
      <c r="AA37" s="1113"/>
      <c r="AB37" s="1113"/>
      <c r="AC37" s="694"/>
      <c r="AD37" s="547"/>
    </row>
    <row r="38" spans="1:30">
      <c r="A38" s="1416"/>
      <c r="B38" s="103"/>
      <c r="C38" s="1111"/>
      <c r="D38" s="34"/>
      <c r="E38" s="34" t="s">
        <v>387</v>
      </c>
      <c r="F38" s="799">
        <v>0</v>
      </c>
      <c r="G38" s="799">
        <v>0</v>
      </c>
      <c r="H38" s="799">
        <v>0</v>
      </c>
      <c r="I38" s="799">
        <v>0</v>
      </c>
      <c r="J38" s="799">
        <v>0</v>
      </c>
      <c r="K38" s="799">
        <v>0</v>
      </c>
      <c r="L38" s="799">
        <v>0</v>
      </c>
      <c r="M38" s="799">
        <v>0</v>
      </c>
      <c r="N38" s="799">
        <v>0</v>
      </c>
      <c r="O38" s="799">
        <v>0</v>
      </c>
      <c r="P38" s="799">
        <v>0</v>
      </c>
      <c r="Q38" s="799"/>
      <c r="R38" s="1409">
        <v>0</v>
      </c>
      <c r="S38" s="1409">
        <v>0</v>
      </c>
      <c r="T38" s="1409">
        <v>0</v>
      </c>
      <c r="U38" s="1409">
        <v>0</v>
      </c>
      <c r="V38" s="1409">
        <v>0</v>
      </c>
      <c r="W38" s="1409">
        <v>0</v>
      </c>
      <c r="X38" s="1409">
        <v>0</v>
      </c>
      <c r="Y38" s="1409">
        <v>0</v>
      </c>
      <c r="Z38" s="1409">
        <v>0</v>
      </c>
      <c r="AA38" s="1409">
        <v>0</v>
      </c>
      <c r="AB38" s="1409">
        <v>0</v>
      </c>
      <c r="AC38" s="694"/>
      <c r="AD38" s="547"/>
    </row>
    <row r="39" spans="1:30">
      <c r="A39" s="1531"/>
      <c r="B39" s="103"/>
      <c r="C39" s="1531"/>
      <c r="D39" s="1531"/>
      <c r="E39" s="34" t="s">
        <v>388</v>
      </c>
      <c r="F39" s="694">
        <v>0</v>
      </c>
      <c r="G39" s="694">
        <v>0</v>
      </c>
      <c r="H39" s="694">
        <v>0</v>
      </c>
      <c r="I39" s="694">
        <v>0</v>
      </c>
      <c r="J39" s="694">
        <v>0</v>
      </c>
      <c r="K39" s="694">
        <v>0</v>
      </c>
      <c r="L39" s="694">
        <v>0</v>
      </c>
      <c r="M39" s="694">
        <v>0</v>
      </c>
      <c r="N39" s="694">
        <v>0</v>
      </c>
      <c r="O39" s="694">
        <v>0</v>
      </c>
      <c r="P39" s="694">
        <v>0</v>
      </c>
      <c r="Q39" s="694">
        <v>0</v>
      </c>
      <c r="R39" s="694">
        <v>0</v>
      </c>
      <c r="S39" s="694">
        <v>0</v>
      </c>
      <c r="T39" s="694">
        <v>0</v>
      </c>
      <c r="U39" s="694">
        <v>0</v>
      </c>
      <c r="V39" s="694">
        <v>0</v>
      </c>
      <c r="W39" s="694">
        <v>0</v>
      </c>
      <c r="X39" s="694">
        <v>0</v>
      </c>
      <c r="Y39" s="694">
        <v>0</v>
      </c>
      <c r="Z39" s="694">
        <v>0</v>
      </c>
      <c r="AA39" s="694">
        <v>0</v>
      </c>
      <c r="AB39" s="694">
        <v>0</v>
      </c>
      <c r="AC39" s="694"/>
      <c r="AD39" s="547"/>
    </row>
    <row r="40" spans="1:30">
      <c r="A40" s="1531"/>
      <c r="B40" s="103"/>
      <c r="C40" s="1531"/>
      <c r="D40" s="1531"/>
      <c r="E40" s="34" t="s">
        <v>389</v>
      </c>
      <c r="F40" s="695">
        <v>0</v>
      </c>
      <c r="G40" s="695">
        <v>0</v>
      </c>
      <c r="H40" s="695">
        <v>0</v>
      </c>
      <c r="I40" s="695">
        <v>0</v>
      </c>
      <c r="J40" s="695">
        <v>0</v>
      </c>
      <c r="K40" s="695">
        <v>0</v>
      </c>
      <c r="L40" s="695">
        <v>0</v>
      </c>
      <c r="M40" s="695">
        <v>0</v>
      </c>
      <c r="N40" s="695">
        <v>0</v>
      </c>
      <c r="O40" s="695">
        <v>0</v>
      </c>
      <c r="P40" s="695">
        <v>0</v>
      </c>
      <c r="Q40" s="695">
        <v>0</v>
      </c>
      <c r="R40" s="695">
        <v>0</v>
      </c>
      <c r="S40" s="695">
        <v>0</v>
      </c>
      <c r="T40" s="695">
        <v>0</v>
      </c>
      <c r="U40" s="695">
        <v>0</v>
      </c>
      <c r="V40" s="695">
        <v>0</v>
      </c>
      <c r="W40" s="695">
        <v>0</v>
      </c>
      <c r="X40" s="695">
        <v>0</v>
      </c>
      <c r="Y40" s="695">
        <v>0</v>
      </c>
      <c r="Z40" s="695">
        <v>170000</v>
      </c>
      <c r="AA40" s="695">
        <v>0</v>
      </c>
      <c r="AB40" s="695">
        <v>0</v>
      </c>
      <c r="AC40" s="694" t="s">
        <v>1489</v>
      </c>
      <c r="AD40" s="547"/>
    </row>
    <row r="41" spans="1:30">
      <c r="A41" s="1531"/>
      <c r="B41" s="104"/>
      <c r="C41" s="978"/>
      <c r="D41" s="978"/>
      <c r="E41" s="721" t="s">
        <v>390</v>
      </c>
      <c r="F41" s="1417">
        <v>0</v>
      </c>
      <c r="G41" s="1417">
        <v>0</v>
      </c>
      <c r="H41" s="1417">
        <v>0</v>
      </c>
      <c r="I41" s="1417">
        <v>0</v>
      </c>
      <c r="J41" s="1417">
        <v>0</v>
      </c>
      <c r="K41" s="1417">
        <v>0</v>
      </c>
      <c r="L41" s="1417">
        <v>0</v>
      </c>
      <c r="M41" s="1417">
        <v>0</v>
      </c>
      <c r="N41" s="1417">
        <v>0</v>
      </c>
      <c r="O41" s="1417">
        <v>0</v>
      </c>
      <c r="P41" s="1417">
        <v>0</v>
      </c>
      <c r="Q41" s="1124">
        <v>0</v>
      </c>
      <c r="R41" s="1124">
        <v>0</v>
      </c>
      <c r="S41" s="1124">
        <v>0</v>
      </c>
      <c r="T41" s="1124">
        <v>0</v>
      </c>
      <c r="U41" s="1124">
        <v>0</v>
      </c>
      <c r="V41" s="1124">
        <v>0</v>
      </c>
      <c r="W41" s="1124">
        <v>0</v>
      </c>
      <c r="X41" s="1124">
        <v>0</v>
      </c>
      <c r="Y41" s="1124">
        <v>0</v>
      </c>
      <c r="Z41" s="1395">
        <v>170000</v>
      </c>
      <c r="AA41" s="1395">
        <v>170000</v>
      </c>
      <c r="AB41" s="1395">
        <v>170000</v>
      </c>
      <c r="AC41" s="694" t="s">
        <v>391</v>
      </c>
      <c r="AD41" s="547"/>
    </row>
    <row r="42" spans="1:30">
      <c r="A42" s="520">
        <v>3120</v>
      </c>
      <c r="B42" s="1075" t="s">
        <v>1412</v>
      </c>
      <c r="C42" s="955"/>
      <c r="D42" s="955"/>
      <c r="E42" s="613"/>
      <c r="F42" s="604"/>
      <c r="G42" s="604"/>
      <c r="H42" s="604"/>
      <c r="I42" s="604"/>
      <c r="J42" s="604"/>
      <c r="K42" s="693"/>
      <c r="L42" s="693"/>
      <c r="M42" s="693"/>
      <c r="N42" s="693"/>
      <c r="O42" s="693"/>
      <c r="P42" s="693"/>
      <c r="Q42" s="693"/>
      <c r="R42" s="693"/>
      <c r="S42" s="604"/>
      <c r="T42" s="604"/>
      <c r="U42" s="604"/>
      <c r="V42" s="604"/>
      <c r="W42" s="604"/>
      <c r="X42" s="604"/>
      <c r="Y42" s="604"/>
      <c r="Z42" s="604"/>
      <c r="AA42" s="604"/>
      <c r="AB42" s="604"/>
      <c r="AC42" s="694"/>
      <c r="AD42" s="547"/>
    </row>
    <row r="43" spans="1:30">
      <c r="A43" s="1416"/>
      <c r="C43" s="34"/>
      <c r="D43" s="1120"/>
      <c r="E43" s="34" t="s">
        <v>1413</v>
      </c>
      <c r="F43" s="695" t="e">
        <v>#REF!</v>
      </c>
      <c r="G43" s="695" t="e">
        <v>#REF!</v>
      </c>
      <c r="H43" s="695" t="e">
        <v>#REF!</v>
      </c>
      <c r="I43" s="695" t="e">
        <v>#REF!</v>
      </c>
      <c r="J43" s="695" t="e">
        <v>#REF!</v>
      </c>
      <c r="K43" s="695" t="e">
        <v>#REF!</v>
      </c>
      <c r="L43" s="695" t="e">
        <v>#REF!</v>
      </c>
      <c r="M43" s="695" t="e">
        <v>#REF!</v>
      </c>
      <c r="N43" s="695">
        <v>0</v>
      </c>
      <c r="O43" s="695">
        <v>0</v>
      </c>
      <c r="P43" s="695">
        <v>0</v>
      </c>
      <c r="Q43" s="1109">
        <v>21000</v>
      </c>
      <c r="R43" s="1109">
        <v>-28000</v>
      </c>
      <c r="S43" s="1109">
        <v>1000</v>
      </c>
      <c r="T43" s="1109">
        <v>9000</v>
      </c>
      <c r="U43" s="1109">
        <v>-202000</v>
      </c>
      <c r="V43" s="1109">
        <v>-14000</v>
      </c>
      <c r="W43" s="1109">
        <v>-1000</v>
      </c>
      <c r="X43" s="1109">
        <v>2000</v>
      </c>
      <c r="Y43" s="1109">
        <v>-4000</v>
      </c>
      <c r="Z43" s="1109">
        <v>0</v>
      </c>
      <c r="AA43" s="1109">
        <v>0</v>
      </c>
      <c r="AB43" s="1109">
        <v>0</v>
      </c>
      <c r="AC43" s="694"/>
      <c r="AD43" s="547"/>
    </row>
    <row r="44" spans="1:30">
      <c r="D44" s="613"/>
      <c r="E44" s="43" t="s">
        <v>1411</v>
      </c>
      <c r="Q44" s="695">
        <v>-12000</v>
      </c>
      <c r="R44" s="695">
        <v>96000</v>
      </c>
      <c r="S44" s="695">
        <v>5000</v>
      </c>
      <c r="T44" s="695">
        <v>-10000</v>
      </c>
      <c r="U44" s="695">
        <v>-15000</v>
      </c>
      <c r="V44" s="695">
        <v>-20000</v>
      </c>
      <c r="W44" s="695">
        <v>-5000</v>
      </c>
      <c r="X44" s="695">
        <v>-5000</v>
      </c>
      <c r="Y44" s="695">
        <v>-18000</v>
      </c>
      <c r="Z44" s="695">
        <v>-4000</v>
      </c>
      <c r="AA44" s="695">
        <v>0</v>
      </c>
      <c r="AB44" s="695">
        <v>0</v>
      </c>
      <c r="AC44" s="694"/>
      <c r="AD44" s="547"/>
    </row>
    <row r="45" spans="1:30">
      <c r="E45" s="34" t="s">
        <v>1395</v>
      </c>
      <c r="F45" s="694" t="e">
        <v>#REF!</v>
      </c>
      <c r="G45" s="694" t="e">
        <v>#REF!</v>
      </c>
      <c r="H45" s="694" t="e">
        <v>#REF!</v>
      </c>
      <c r="I45" s="694" t="e">
        <v>#REF!</v>
      </c>
      <c r="J45" s="694" t="e">
        <v>#REF!</v>
      </c>
      <c r="K45" s="694" t="e">
        <v>#REF!</v>
      </c>
      <c r="L45" s="694" t="e">
        <v>#REF!</v>
      </c>
      <c r="M45" s="694" t="e">
        <v>#REF!</v>
      </c>
      <c r="N45" s="694">
        <v>0</v>
      </c>
      <c r="O45" s="694">
        <v>0</v>
      </c>
      <c r="P45" s="694">
        <v>0</v>
      </c>
      <c r="Q45" s="1109">
        <v>9000</v>
      </c>
      <c r="R45" s="1109">
        <v>68000</v>
      </c>
      <c r="S45" s="1109">
        <v>6000</v>
      </c>
      <c r="T45" s="1109">
        <v>-1000</v>
      </c>
      <c r="U45" s="1109">
        <v>-217000</v>
      </c>
      <c r="V45" s="1109">
        <v>-34000</v>
      </c>
      <c r="W45" s="1109">
        <v>-6000</v>
      </c>
      <c r="X45" s="1109">
        <v>-3000</v>
      </c>
      <c r="Y45" s="1109">
        <v>-22000</v>
      </c>
      <c r="Z45" s="1109">
        <v>-4000</v>
      </c>
      <c r="AA45" s="1109">
        <v>0</v>
      </c>
      <c r="AB45" s="1109">
        <v>0</v>
      </c>
      <c r="AC45" s="694"/>
      <c r="AD45" s="547"/>
    </row>
    <row r="46" spans="1:30">
      <c r="B46" s="103"/>
      <c r="C46" s="1531"/>
      <c r="D46" s="1531"/>
      <c r="E46" s="1120" t="s">
        <v>1415</v>
      </c>
      <c r="F46" s="696" t="e">
        <v>#REF!</v>
      </c>
      <c r="G46" s="696" t="e">
        <v>#REF!</v>
      </c>
      <c r="H46" s="696" t="e">
        <v>#REF!</v>
      </c>
      <c r="I46" s="696" t="e">
        <v>#REF!</v>
      </c>
      <c r="J46" s="696" t="e">
        <v>#REF!</v>
      </c>
      <c r="K46" s="696" t="e">
        <v>#REF!</v>
      </c>
      <c r="L46" s="696" t="e">
        <v>#REF!</v>
      </c>
      <c r="M46" s="696" t="e">
        <v>#REF!</v>
      </c>
      <c r="N46" s="696" t="e">
        <v>#REF!</v>
      </c>
      <c r="O46" s="696" t="e">
        <v>#REF!</v>
      </c>
      <c r="P46" s="696" t="e">
        <v>#REF!</v>
      </c>
      <c r="Q46" s="1112">
        <v>9000</v>
      </c>
      <c r="R46" s="1112">
        <v>77000</v>
      </c>
      <c r="S46" s="1112">
        <v>83000</v>
      </c>
      <c r="T46" s="1112">
        <v>82000</v>
      </c>
      <c r="U46" s="1112">
        <v>-135000</v>
      </c>
      <c r="V46" s="1112">
        <v>-169000</v>
      </c>
      <c r="W46" s="1112">
        <v>-175000</v>
      </c>
      <c r="X46" s="1112">
        <v>-178000</v>
      </c>
      <c r="Y46" s="1112">
        <v>-200000</v>
      </c>
      <c r="Z46" s="1112">
        <v>-204000</v>
      </c>
      <c r="AA46" s="1112">
        <v>-204000</v>
      </c>
      <c r="AB46" s="1112">
        <v>-204000</v>
      </c>
      <c r="AC46" s="694" t="s">
        <v>393</v>
      </c>
      <c r="AD46" s="547"/>
    </row>
    <row r="47" spans="1:30">
      <c r="A47" s="4"/>
      <c r="B47" s="104"/>
      <c r="C47" s="978"/>
      <c r="D47" s="978"/>
      <c r="E47" s="721"/>
      <c r="F47" s="1417"/>
      <c r="G47" s="1417"/>
      <c r="H47" s="1417"/>
      <c r="I47" s="1417"/>
      <c r="J47" s="1417"/>
      <c r="K47" s="1417"/>
      <c r="L47" s="1417"/>
      <c r="M47" s="1417"/>
      <c r="N47" s="1417"/>
      <c r="O47" s="1417"/>
      <c r="P47" s="1417"/>
      <c r="Q47" s="1124"/>
      <c r="R47" s="1124"/>
      <c r="S47" s="1124"/>
      <c r="T47" s="1124"/>
      <c r="U47" s="1124"/>
      <c r="V47" s="1124"/>
      <c r="W47" s="1124"/>
      <c r="X47" s="1124"/>
      <c r="Y47" s="1124"/>
      <c r="Z47" s="1124"/>
      <c r="AA47" s="1124"/>
      <c r="AB47" s="1124"/>
      <c r="AC47" s="694"/>
      <c r="AD47" s="547"/>
    </row>
    <row r="48" spans="1:30" ht="15">
      <c r="A48" s="520">
        <v>3120</v>
      </c>
      <c r="B48" s="1075" t="s">
        <v>394</v>
      </c>
      <c r="C48" s="1027"/>
      <c r="D48" s="1027"/>
      <c r="E48" s="1611"/>
      <c r="F48" s="1611"/>
      <c r="G48" s="693"/>
      <c r="H48" s="693"/>
      <c r="I48" s="693"/>
      <c r="J48" s="693"/>
      <c r="K48" s="693"/>
      <c r="L48" s="693"/>
      <c r="M48" s="693"/>
      <c r="N48" s="693"/>
      <c r="O48" s="693"/>
      <c r="P48" s="693"/>
      <c r="Q48" s="1127"/>
      <c r="R48" s="1127"/>
      <c r="S48" s="1127"/>
      <c r="T48" s="1127"/>
      <c r="U48" s="1127"/>
      <c r="V48" s="1127"/>
      <c r="W48" s="1127"/>
      <c r="X48" s="1127"/>
      <c r="Y48" s="1127"/>
      <c r="Z48" s="1127"/>
      <c r="AA48" s="1127"/>
      <c r="AB48" s="1127"/>
      <c r="AD48" s="547"/>
    </row>
    <row r="49" spans="1:30">
      <c r="E49" s="613" t="s">
        <v>390</v>
      </c>
      <c r="F49" s="694">
        <v>0</v>
      </c>
      <c r="G49" s="694">
        <v>0</v>
      </c>
      <c r="H49" s="694">
        <v>0</v>
      </c>
      <c r="I49" s="694">
        <v>0</v>
      </c>
      <c r="J49" s="694">
        <v>0</v>
      </c>
      <c r="K49" s="694">
        <v>0</v>
      </c>
      <c r="L49" s="694">
        <v>0</v>
      </c>
      <c r="M49" s="694">
        <v>0</v>
      </c>
      <c r="N49" s="694">
        <v>0</v>
      </c>
      <c r="O49" s="694">
        <v>0</v>
      </c>
      <c r="P49" s="694">
        <v>0</v>
      </c>
      <c r="Q49" s="694">
        <v>0</v>
      </c>
      <c r="R49" s="694">
        <v>0</v>
      </c>
      <c r="S49" s="694">
        <v>0</v>
      </c>
      <c r="T49" s="694">
        <v>0</v>
      </c>
      <c r="U49" s="694">
        <v>0</v>
      </c>
      <c r="V49" s="694">
        <v>0</v>
      </c>
      <c r="W49" s="694">
        <v>0</v>
      </c>
      <c r="X49" s="694">
        <v>0</v>
      </c>
      <c r="Y49" s="694">
        <v>0</v>
      </c>
      <c r="Z49" s="694">
        <v>170000</v>
      </c>
      <c r="AA49" s="694">
        <v>170000</v>
      </c>
      <c r="AB49" s="694">
        <v>170000</v>
      </c>
      <c r="AC49" s="694"/>
      <c r="AD49" s="547"/>
    </row>
    <row r="50" spans="1:30">
      <c r="A50" s="34"/>
      <c r="B50" s="788"/>
      <c r="C50" s="34"/>
      <c r="D50" s="34"/>
      <c r="E50" s="1107" t="s">
        <v>1415</v>
      </c>
      <c r="F50" s="1109" t="e">
        <v>#REF!</v>
      </c>
      <c r="G50" s="1109" t="e">
        <v>#REF!</v>
      </c>
      <c r="H50" s="1109" t="e">
        <v>#REF!</v>
      </c>
      <c r="I50" s="1109" t="e">
        <v>#REF!</v>
      </c>
      <c r="J50" s="1109" t="e">
        <v>#REF!</v>
      </c>
      <c r="K50" s="1109" t="e">
        <v>#REF!</v>
      </c>
      <c r="L50" s="1109" t="e">
        <v>#REF!</v>
      </c>
      <c r="M50" s="1109" t="e">
        <v>#REF!</v>
      </c>
      <c r="N50" s="1109" t="e">
        <v>#REF!</v>
      </c>
      <c r="O50" s="1109" t="e">
        <v>#REF!</v>
      </c>
      <c r="P50" s="1109" t="e">
        <v>#REF!</v>
      </c>
      <c r="Q50" s="695">
        <v>9000</v>
      </c>
      <c r="R50" s="695">
        <v>77000</v>
      </c>
      <c r="S50" s="695">
        <v>83000</v>
      </c>
      <c r="T50" s="695">
        <v>82000</v>
      </c>
      <c r="U50" s="695">
        <v>-135000</v>
      </c>
      <c r="V50" s="695">
        <v>-169000</v>
      </c>
      <c r="W50" s="695">
        <v>-175000</v>
      </c>
      <c r="X50" s="695">
        <v>-178000</v>
      </c>
      <c r="Y50" s="695">
        <v>-200000</v>
      </c>
      <c r="Z50" s="695">
        <v>-204000</v>
      </c>
      <c r="AA50" s="695">
        <v>-204000</v>
      </c>
      <c r="AB50" s="695">
        <v>-204000</v>
      </c>
      <c r="AC50" s="694"/>
      <c r="AD50" s="547"/>
    </row>
    <row r="51" spans="1:30" ht="12.95" customHeight="1">
      <c r="A51" s="1272"/>
      <c r="B51" s="1407"/>
      <c r="C51" s="1107"/>
      <c r="D51" s="1107"/>
      <c r="E51" s="1107" t="s">
        <v>1414</v>
      </c>
      <c r="F51" s="1478" t="e">
        <v>#REF!</v>
      </c>
      <c r="G51" s="1478" t="e">
        <v>#REF!</v>
      </c>
      <c r="H51" s="1478" t="e">
        <v>#REF!</v>
      </c>
      <c r="I51" s="1478" t="e">
        <v>#REF!</v>
      </c>
      <c r="J51" s="1478" t="e">
        <v>#REF!</v>
      </c>
      <c r="K51" s="1478" t="e">
        <v>#REF!</v>
      </c>
      <c r="L51" s="1478" t="e">
        <v>#REF!</v>
      </c>
      <c r="M51" s="1478" t="e">
        <v>#REF!</v>
      </c>
      <c r="N51" s="1478" t="e">
        <v>#REF!</v>
      </c>
      <c r="O51" s="1478" t="e">
        <v>#REF!</v>
      </c>
      <c r="P51" s="1478" t="e">
        <v>#REF!</v>
      </c>
      <c r="Q51" s="1479"/>
      <c r="R51" s="1479">
        <v>77000</v>
      </c>
      <c r="S51" s="1479">
        <v>83000</v>
      </c>
      <c r="T51" s="1479">
        <v>82000</v>
      </c>
      <c r="U51" s="1479">
        <v>-135000</v>
      </c>
      <c r="V51" s="1479">
        <v>-169000</v>
      </c>
      <c r="W51" s="1479">
        <v>-175000</v>
      </c>
      <c r="X51" s="1479">
        <v>-178000</v>
      </c>
      <c r="Y51" s="1479">
        <v>-200000</v>
      </c>
      <c r="Z51" s="1479">
        <v>-34000</v>
      </c>
      <c r="AA51" s="1479">
        <v>-34000</v>
      </c>
      <c r="AB51" s="1479">
        <v>-34000</v>
      </c>
      <c r="AC51" s="694" t="s">
        <v>396</v>
      </c>
      <c r="AD51" s="547"/>
    </row>
    <row r="52" spans="1:30" ht="50.65" hidden="1" customHeight="1">
      <c r="A52" s="34"/>
      <c r="B52" s="1531"/>
      <c r="C52" s="34"/>
      <c r="D52" s="34"/>
      <c r="E52" s="604" t="s">
        <v>397</v>
      </c>
      <c r="F52" s="693"/>
      <c r="G52" s="693" t="e">
        <v>#REF!</v>
      </c>
      <c r="H52" s="693" t="e">
        <v>#REF!</v>
      </c>
      <c r="I52" s="693" t="e">
        <v>#REF!</v>
      </c>
      <c r="J52" s="693" t="e">
        <v>#REF!</v>
      </c>
      <c r="K52" s="693" t="e">
        <v>#REF!</v>
      </c>
      <c r="L52" s="693" t="e">
        <v>#REF!</v>
      </c>
      <c r="M52" s="693" t="e">
        <v>#REF!</v>
      </c>
      <c r="N52" s="693" t="e">
        <v>#REF!</v>
      </c>
      <c r="O52" s="693" t="e">
        <v>#REF!</v>
      </c>
      <c r="P52" s="693" t="e">
        <v>#REF!</v>
      </c>
      <c r="Q52" s="693"/>
      <c r="R52" s="693">
        <v>8.715027321610652</v>
      </c>
      <c r="S52" s="693">
        <v>9.8431655620447529</v>
      </c>
      <c r="T52" s="693">
        <v>11.439902379499696</v>
      </c>
      <c r="U52" s="693">
        <v>12.54180602006689</v>
      </c>
      <c r="V52" s="693">
        <v>12.674271229404306</v>
      </c>
      <c r="W52" s="693">
        <v>13.204225352112676</v>
      </c>
      <c r="X52" s="693">
        <v>15.18987341772152</v>
      </c>
      <c r="Y52" s="693">
        <v>17.411491584445738</v>
      </c>
      <c r="Z52" s="693">
        <v>19.379844961240313</v>
      </c>
      <c r="AA52" s="693">
        <v>23.566378633150041</v>
      </c>
      <c r="AB52" s="604"/>
      <c r="AC52" s="694"/>
      <c r="AD52" s="547"/>
    </row>
    <row r="53" spans="1:30" ht="12.95" customHeight="1">
      <c r="A53" s="732"/>
      <c r="B53" s="978"/>
      <c r="C53" s="43"/>
      <c r="D53" s="43"/>
      <c r="E53" s="698"/>
      <c r="F53" s="767"/>
      <c r="G53" s="767"/>
      <c r="H53" s="767"/>
      <c r="I53" s="767"/>
      <c r="J53" s="767"/>
      <c r="K53" s="767"/>
      <c r="L53" s="767"/>
      <c r="M53" s="767"/>
      <c r="N53" s="767"/>
      <c r="O53" s="767"/>
      <c r="P53" s="767"/>
      <c r="Q53" s="767"/>
      <c r="R53" s="767"/>
      <c r="S53" s="767"/>
      <c r="T53" s="767"/>
      <c r="U53" s="767"/>
      <c r="V53" s="767"/>
      <c r="W53" s="767"/>
      <c r="X53" s="767"/>
      <c r="Y53" s="767"/>
      <c r="Z53" s="767"/>
      <c r="AA53" s="767"/>
      <c r="AB53" s="698"/>
      <c r="AC53" s="694"/>
      <c r="AD53" s="547"/>
    </row>
    <row r="54" spans="1:30">
      <c r="A54" s="520">
        <v>3140</v>
      </c>
      <c r="B54" s="1075" t="s">
        <v>1432</v>
      </c>
      <c r="C54" s="585"/>
      <c r="D54" s="585"/>
      <c r="E54" s="613"/>
      <c r="AC54" s="694"/>
      <c r="AD54" s="547"/>
    </row>
    <row r="55" spans="1:30">
      <c r="B55" s="34"/>
      <c r="C55" s="34"/>
      <c r="D55" s="34"/>
      <c r="E55" s="613" t="s">
        <v>1417</v>
      </c>
      <c r="F55" s="694"/>
      <c r="G55" s="694"/>
      <c r="H55" s="694"/>
      <c r="I55" s="694"/>
      <c r="J55" s="694"/>
      <c r="K55" s="694"/>
      <c r="L55" s="694"/>
      <c r="M55" s="694"/>
      <c r="N55" s="694">
        <v>-23888</v>
      </c>
      <c r="O55" s="694">
        <v>14332</v>
      </c>
      <c r="P55" s="694">
        <v>32489</v>
      </c>
      <c r="Q55" s="694"/>
      <c r="R55" s="694">
        <v>-4862</v>
      </c>
      <c r="S55" s="694">
        <v>-10532</v>
      </c>
      <c r="T55" s="694">
        <v>12000</v>
      </c>
      <c r="U55" s="694">
        <v>7000</v>
      </c>
      <c r="V55" s="694">
        <v>-39000</v>
      </c>
      <c r="W55" s="694">
        <v>-20000</v>
      </c>
      <c r="X55" s="694">
        <v>27000</v>
      </c>
      <c r="Y55" s="694">
        <v>-1000</v>
      </c>
      <c r="Z55" s="694">
        <v>0</v>
      </c>
      <c r="AA55" s="694">
        <v>2000</v>
      </c>
      <c r="AB55" s="694">
        <v>8000</v>
      </c>
      <c r="AC55" s="694" t="s">
        <v>1443</v>
      </c>
      <c r="AD55" s="547"/>
    </row>
    <row r="56" spans="1:30">
      <c r="A56" s="1108"/>
      <c r="B56" s="1407"/>
      <c r="C56" s="1108"/>
      <c r="D56" s="1108"/>
      <c r="E56" s="613" t="s">
        <v>1416</v>
      </c>
      <c r="F56" s="767"/>
      <c r="G56" s="767"/>
      <c r="H56" s="767"/>
      <c r="I56" s="767"/>
      <c r="J56" s="767"/>
      <c r="K56" s="767"/>
      <c r="L56" s="767"/>
      <c r="M56" s="767"/>
      <c r="N56" s="767"/>
      <c r="O56" s="767"/>
      <c r="P56" s="767"/>
      <c r="Q56" s="693"/>
      <c r="R56" s="1112">
        <v>-4862</v>
      </c>
      <c r="S56" s="1112">
        <v>-15394</v>
      </c>
      <c r="T56" s="1112">
        <v>-3394</v>
      </c>
      <c r="U56" s="1112">
        <v>3606</v>
      </c>
      <c r="V56" s="1112">
        <v>-35394</v>
      </c>
      <c r="W56" s="1112">
        <v>-55394</v>
      </c>
      <c r="X56" s="1112">
        <v>-28394</v>
      </c>
      <c r="Y56" s="1112">
        <v>-29394</v>
      </c>
      <c r="Z56" s="1112">
        <v>-29394</v>
      </c>
      <c r="AA56" s="1112">
        <v>-27394</v>
      </c>
      <c r="AB56" s="1112">
        <v>-19394</v>
      </c>
      <c r="AC56" s="694"/>
      <c r="AD56" s="547"/>
    </row>
    <row r="57" spans="1:30">
      <c r="A57" s="43"/>
      <c r="B57" s="978"/>
      <c r="C57" s="43"/>
      <c r="D57" s="43"/>
      <c r="E57" s="698"/>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694"/>
      <c r="AD57" s="547"/>
    </row>
    <row r="58" spans="1:30">
      <c r="A58" s="520">
        <v>3160</v>
      </c>
      <c r="B58" s="1075" t="s">
        <v>401</v>
      </c>
      <c r="C58" s="585"/>
      <c r="D58" s="585"/>
      <c r="F58" s="604"/>
      <c r="G58" s="604"/>
      <c r="H58" s="604"/>
      <c r="I58" s="604"/>
      <c r="J58" s="604"/>
      <c r="K58" s="693"/>
      <c r="L58" s="693"/>
      <c r="M58" s="693"/>
      <c r="N58" s="693"/>
      <c r="O58" s="693"/>
      <c r="P58" s="693"/>
      <c r="Q58" s="693"/>
      <c r="R58" s="693"/>
      <c r="S58" s="604"/>
      <c r="T58" s="604"/>
      <c r="U58" s="604"/>
      <c r="V58" s="604"/>
      <c r="W58" s="604"/>
      <c r="X58" s="604"/>
      <c r="Y58" s="604"/>
      <c r="Z58" s="604"/>
      <c r="AA58" s="604"/>
      <c r="AB58" s="604"/>
      <c r="AC58" s="694"/>
      <c r="AD58" s="547"/>
    </row>
    <row r="59" spans="1:30">
      <c r="B59" s="103"/>
      <c r="C59" s="613"/>
      <c r="D59" s="613"/>
      <c r="E59" s="613" t="s">
        <v>402</v>
      </c>
      <c r="F59" s="694">
        <v>0</v>
      </c>
      <c r="G59" s="694">
        <v>0</v>
      </c>
      <c r="H59" s="694">
        <v>0</v>
      </c>
      <c r="I59" s="694">
        <v>0</v>
      </c>
      <c r="J59" s="694">
        <v>0</v>
      </c>
      <c r="K59" s="694">
        <v>0</v>
      </c>
      <c r="L59" s="694">
        <v>0</v>
      </c>
      <c r="M59" s="694">
        <v>0</v>
      </c>
      <c r="N59" s="694">
        <v>658</v>
      </c>
      <c r="O59" s="694">
        <v>45497</v>
      </c>
      <c r="P59" s="694">
        <v>-114109</v>
      </c>
      <c r="Q59" s="694"/>
      <c r="R59" s="694">
        <v>-1138</v>
      </c>
      <c r="S59" s="694">
        <v>-1067</v>
      </c>
      <c r="T59" s="694">
        <v>-1000</v>
      </c>
      <c r="U59" s="694">
        <v>0</v>
      </c>
      <c r="V59" s="694">
        <v>2000</v>
      </c>
      <c r="W59" s="694">
        <v>-1000</v>
      </c>
      <c r="X59" s="694">
        <v>-4000</v>
      </c>
      <c r="Y59" s="694">
        <v>4000</v>
      </c>
      <c r="Z59" s="694">
        <v>2000</v>
      </c>
      <c r="AA59" s="694">
        <v>-2000</v>
      </c>
      <c r="AB59" s="694">
        <v>-1000</v>
      </c>
      <c r="AC59" s="694" t="s">
        <v>1442</v>
      </c>
      <c r="AD59" s="547"/>
    </row>
    <row r="60" spans="1:30">
      <c r="B60" s="103"/>
      <c r="E60" s="613" t="s">
        <v>403</v>
      </c>
      <c r="F60" s="694">
        <v>0</v>
      </c>
      <c r="G60" s="694">
        <v>0</v>
      </c>
      <c r="H60" s="694">
        <v>0</v>
      </c>
      <c r="I60" s="694">
        <v>0</v>
      </c>
      <c r="J60" s="694">
        <v>0</v>
      </c>
      <c r="K60" s="694">
        <v>0</v>
      </c>
      <c r="L60" s="694">
        <v>0</v>
      </c>
      <c r="M60" s="694">
        <v>0</v>
      </c>
      <c r="N60" s="694">
        <v>658</v>
      </c>
      <c r="O60" s="694">
        <v>45497</v>
      </c>
      <c r="P60" s="694">
        <v>-114109</v>
      </c>
      <c r="Q60" s="694"/>
      <c r="R60" s="1112">
        <v>-1138</v>
      </c>
      <c r="S60" s="1112">
        <v>-2205</v>
      </c>
      <c r="T60" s="1112">
        <v>-3205</v>
      </c>
      <c r="U60" s="1112">
        <v>-3205</v>
      </c>
      <c r="V60" s="1112">
        <v>-1205</v>
      </c>
      <c r="W60" s="1112">
        <v>-2205</v>
      </c>
      <c r="X60" s="1112">
        <v>-6205</v>
      </c>
      <c r="Y60" s="1112">
        <v>-2205</v>
      </c>
      <c r="Z60" s="1112">
        <v>-205</v>
      </c>
      <c r="AA60" s="1112">
        <v>-2205</v>
      </c>
      <c r="AB60" s="1112">
        <v>-3205</v>
      </c>
      <c r="AC60" s="694"/>
      <c r="AD60" s="547"/>
    </row>
    <row r="61" spans="1:30">
      <c r="A61" s="43"/>
      <c r="B61" s="978"/>
      <c r="C61" s="43"/>
      <c r="D61" s="43"/>
      <c r="E61" s="721"/>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4"/>
      <c r="AD61" s="547"/>
    </row>
    <row r="62" spans="1:30">
      <c r="A62" s="520">
        <v>3160</v>
      </c>
      <c r="B62" s="1075" t="s">
        <v>365</v>
      </c>
      <c r="C62" s="585"/>
      <c r="D62" s="585"/>
      <c r="F62" s="615"/>
      <c r="G62" s="615"/>
      <c r="H62" s="615"/>
      <c r="I62" s="615"/>
      <c r="J62" s="615"/>
      <c r="K62" s="615"/>
      <c r="L62" s="615"/>
      <c r="M62" s="615"/>
      <c r="N62" s="615"/>
      <c r="O62" s="615"/>
      <c r="P62" s="615"/>
      <c r="Q62" s="1121"/>
      <c r="R62" s="1121"/>
      <c r="S62" s="1121"/>
      <c r="T62" s="1121"/>
      <c r="U62" s="1121"/>
      <c r="V62" s="1121"/>
      <c r="W62" s="1121"/>
      <c r="X62" s="1121"/>
      <c r="Y62" s="1121"/>
      <c r="Z62" s="1121"/>
      <c r="AA62" s="1121"/>
      <c r="AB62" s="1121"/>
      <c r="AC62" s="694"/>
      <c r="AD62" s="547"/>
    </row>
    <row r="63" spans="1:30">
      <c r="A63" s="733"/>
      <c r="B63" s="1531"/>
      <c r="E63" s="721" t="s">
        <v>404</v>
      </c>
      <c r="AC63" s="694"/>
      <c r="AD63" s="547"/>
    </row>
    <row r="64" spans="1:30">
      <c r="A64" s="733"/>
      <c r="B64" s="1531"/>
      <c r="C64" s="3"/>
      <c r="D64" s="3"/>
      <c r="E64" s="784" t="s">
        <v>130</v>
      </c>
      <c r="F64" s="616" t="e">
        <v>#REF!</v>
      </c>
      <c r="G64" s="616" t="e">
        <v>#REF!</v>
      </c>
      <c r="H64" s="616" t="e">
        <v>#REF!</v>
      </c>
      <c r="I64" s="616" t="e">
        <v>#REF!</v>
      </c>
      <c r="J64" s="616" t="e">
        <v>#REF!</v>
      </c>
      <c r="K64" s="616" t="e">
        <v>#REF!</v>
      </c>
      <c r="L64" s="616" t="e">
        <v>#REF!</v>
      </c>
      <c r="M64" s="616" t="e">
        <v>#REF!</v>
      </c>
      <c r="N64" s="616">
        <v>-98003</v>
      </c>
      <c r="O64" s="616">
        <v>-129267</v>
      </c>
      <c r="P64" s="616">
        <v>-131157</v>
      </c>
      <c r="Q64" s="616"/>
      <c r="R64" s="616">
        <v>140503</v>
      </c>
      <c r="S64" s="616">
        <v>162000</v>
      </c>
      <c r="T64" s="616">
        <v>162000</v>
      </c>
      <c r="U64" s="616">
        <v>161000</v>
      </c>
      <c r="V64" s="616">
        <v>166000</v>
      </c>
      <c r="W64" s="616">
        <v>161000</v>
      </c>
      <c r="X64" s="616">
        <v>158000</v>
      </c>
      <c r="Y64" s="616">
        <v>167000</v>
      </c>
      <c r="Z64" s="616">
        <v>160000</v>
      </c>
      <c r="AA64" s="616">
        <v>177000</v>
      </c>
      <c r="AB64" s="616">
        <v>200000</v>
      </c>
      <c r="AC64" s="694"/>
      <c r="AD64" s="547"/>
    </row>
    <row r="65" spans="1:30">
      <c r="A65" s="34"/>
      <c r="B65" s="788"/>
      <c r="C65" s="613"/>
      <c r="D65" s="613"/>
      <c r="E65" s="795" t="s">
        <v>405</v>
      </c>
      <c r="F65" s="702"/>
      <c r="G65" s="702"/>
      <c r="H65" s="702"/>
      <c r="I65" s="702"/>
      <c r="J65" s="702"/>
      <c r="K65" s="702"/>
      <c r="L65" s="702"/>
      <c r="M65" s="702"/>
      <c r="N65" s="702">
        <v>0</v>
      </c>
      <c r="O65" s="702">
        <v>0</v>
      </c>
      <c r="P65" s="702">
        <v>-6317</v>
      </c>
      <c r="Q65" s="702"/>
      <c r="R65" s="702"/>
      <c r="S65" s="702"/>
      <c r="T65" s="702"/>
      <c r="U65" s="702"/>
      <c r="V65" s="702"/>
      <c r="W65" s="702"/>
      <c r="X65" s="702"/>
      <c r="Y65" s="702"/>
      <c r="Z65" s="702"/>
      <c r="AA65" s="702"/>
      <c r="AB65" s="702"/>
      <c r="AC65" s="694"/>
      <c r="AD65" s="547"/>
    </row>
    <row r="66" spans="1:30">
      <c r="A66" s="34"/>
      <c r="B66" s="788"/>
      <c r="C66" s="1072"/>
      <c r="D66" s="1052"/>
      <c r="E66" s="1049" t="s">
        <v>406</v>
      </c>
      <c r="F66" s="616" t="e">
        <v>#REF!</v>
      </c>
      <c r="G66" s="616" t="e">
        <v>#REF!</v>
      </c>
      <c r="H66" s="616" t="e">
        <v>#REF!</v>
      </c>
      <c r="I66" s="616" t="e">
        <v>#REF!</v>
      </c>
      <c r="J66" s="616" t="e">
        <v>#REF!</v>
      </c>
      <c r="K66" s="616" t="e">
        <v>#REF!</v>
      </c>
      <c r="L66" s="616" t="e">
        <v>#REF!</v>
      </c>
      <c r="M66" s="616" t="e">
        <v>#REF!</v>
      </c>
      <c r="N66" s="616">
        <v>-98003</v>
      </c>
      <c r="O66" s="616">
        <v>-129267</v>
      </c>
      <c r="P66" s="616">
        <v>-137474</v>
      </c>
      <c r="Q66" s="616"/>
      <c r="R66" s="616">
        <v>140503</v>
      </c>
      <c r="S66" s="616">
        <v>162000</v>
      </c>
      <c r="T66" s="616">
        <v>162000</v>
      </c>
      <c r="U66" s="616">
        <v>161000</v>
      </c>
      <c r="V66" s="616">
        <v>166000</v>
      </c>
      <c r="W66" s="616">
        <v>161000</v>
      </c>
      <c r="X66" s="616">
        <v>158000</v>
      </c>
      <c r="Y66" s="616">
        <v>167000</v>
      </c>
      <c r="Z66" s="616">
        <v>160000</v>
      </c>
      <c r="AA66" s="616">
        <v>177000</v>
      </c>
      <c r="AB66" s="616">
        <v>200000</v>
      </c>
      <c r="AC66" s="694"/>
      <c r="AD66" s="547"/>
    </row>
    <row r="67" spans="1:30">
      <c r="A67" s="34"/>
      <c r="B67" s="788"/>
      <c r="C67" s="788"/>
      <c r="D67" s="613"/>
      <c r="E67" s="795"/>
      <c r="F67" s="616"/>
      <c r="G67" s="616"/>
      <c r="H67" s="616"/>
      <c r="I67" s="616"/>
      <c r="J67" s="616"/>
      <c r="K67" s="616"/>
      <c r="L67" s="616"/>
      <c r="M67" s="616"/>
      <c r="N67" s="616"/>
      <c r="O67" s="616"/>
      <c r="P67" s="616"/>
      <c r="Q67" s="616"/>
      <c r="R67" s="616"/>
      <c r="S67" s="616"/>
      <c r="T67" s="616"/>
      <c r="U67" s="616"/>
      <c r="V67" s="616"/>
      <c r="W67" s="616"/>
      <c r="X67" s="616"/>
      <c r="Y67" s="616"/>
      <c r="Z67" s="616"/>
      <c r="AA67" s="616"/>
      <c r="AC67" s="694"/>
      <c r="AD67" s="547"/>
    </row>
    <row r="68" spans="1:30">
      <c r="A68" s="34"/>
      <c r="B68" s="788"/>
      <c r="C68" s="1072"/>
      <c r="D68" s="1052"/>
      <c r="E68" s="613" t="s">
        <v>1278</v>
      </c>
      <c r="F68" s="616" t="e">
        <v>#REF!</v>
      </c>
      <c r="G68" s="616" t="e">
        <v>#REF!</v>
      </c>
      <c r="H68" s="616" t="e">
        <v>#REF!</v>
      </c>
      <c r="I68" s="616" t="e">
        <v>#REF!</v>
      </c>
      <c r="J68" s="616" t="e">
        <v>#REF!</v>
      </c>
      <c r="K68" s="616" t="e">
        <v>#REF!</v>
      </c>
      <c r="L68" s="616" t="e">
        <v>#REF!</v>
      </c>
      <c r="M68" s="616" t="e">
        <v>#REF!</v>
      </c>
      <c r="N68" s="616">
        <v>-107132</v>
      </c>
      <c r="O68" s="616">
        <v>-139556</v>
      </c>
      <c r="P68" s="616">
        <v>-149793</v>
      </c>
      <c r="Q68" s="616"/>
      <c r="R68" s="616">
        <v>155184</v>
      </c>
      <c r="S68" s="616">
        <v>181000</v>
      </c>
      <c r="T68" s="616">
        <v>180000</v>
      </c>
      <c r="U68" s="616">
        <v>177000</v>
      </c>
      <c r="V68" s="616">
        <v>178000</v>
      </c>
      <c r="W68" s="616">
        <v>175000</v>
      </c>
      <c r="X68" s="616">
        <v>158000</v>
      </c>
      <c r="Y68" s="616">
        <v>182000</v>
      </c>
      <c r="Z68" s="616">
        <v>169000</v>
      </c>
      <c r="AA68" s="616">
        <v>184000</v>
      </c>
      <c r="AB68" s="616">
        <v>208000</v>
      </c>
      <c r="AC68" s="694"/>
      <c r="AD68" s="547"/>
    </row>
    <row r="69" spans="1:30">
      <c r="A69" s="34"/>
      <c r="B69" s="788"/>
      <c r="C69" s="613"/>
      <c r="D69" s="613"/>
      <c r="E69" s="795"/>
      <c r="F69" s="616"/>
      <c r="G69" s="616"/>
      <c r="H69" s="616"/>
      <c r="I69" s="616"/>
      <c r="J69" s="616"/>
      <c r="K69" s="616"/>
      <c r="L69" s="616"/>
      <c r="M69" s="616"/>
      <c r="N69" s="616"/>
      <c r="O69" s="616"/>
      <c r="P69" s="616"/>
      <c r="Q69" s="616"/>
      <c r="R69" s="616"/>
      <c r="S69" s="616"/>
      <c r="T69" s="616"/>
      <c r="U69" s="616"/>
      <c r="V69" s="616"/>
      <c r="W69" s="616"/>
      <c r="X69" s="616"/>
      <c r="Y69" s="616"/>
      <c r="Z69" s="616"/>
      <c r="AA69" s="616"/>
      <c r="AC69" s="694"/>
      <c r="AD69" s="547"/>
    </row>
    <row r="70" spans="1:30">
      <c r="A70" s="34"/>
      <c r="B70" s="788"/>
      <c r="C70" s="1052"/>
      <c r="D70" s="1052"/>
      <c r="E70" s="1053" t="s">
        <v>1280</v>
      </c>
      <c r="F70" s="616"/>
      <c r="G70" s="616"/>
      <c r="H70" s="616"/>
      <c r="I70" s="616"/>
      <c r="J70" s="616"/>
      <c r="N70" s="616"/>
      <c r="O70" s="616"/>
      <c r="P70" s="616"/>
      <c r="Q70" s="616"/>
      <c r="R70" s="616"/>
      <c r="S70" s="616"/>
      <c r="T70" s="616"/>
      <c r="AC70" s="694"/>
      <c r="AD70" s="547"/>
    </row>
    <row r="71" spans="1:30">
      <c r="A71" s="34"/>
      <c r="B71" s="788"/>
      <c r="C71" s="613"/>
      <c r="D71" s="613"/>
      <c r="E71" s="795" t="s">
        <v>1420</v>
      </c>
      <c r="F71" s="616" t="e">
        <v>#REF!</v>
      </c>
      <c r="G71" s="616" t="e">
        <v>#REF!</v>
      </c>
      <c r="H71" s="616" t="e">
        <v>#REF!</v>
      </c>
      <c r="I71" s="616" t="e">
        <v>#REF!</v>
      </c>
      <c r="J71" s="616" t="e">
        <v>#REF!</v>
      </c>
      <c r="K71" s="616" t="e">
        <v>#REF!</v>
      </c>
      <c r="L71" s="616" t="e">
        <v>#REF!</v>
      </c>
      <c r="M71" s="616" t="e">
        <v>#REF!</v>
      </c>
      <c r="N71" s="616" t="e">
        <v>#REF!</v>
      </c>
      <c r="O71" s="616" t="e">
        <v>#REF!</v>
      </c>
      <c r="P71" s="616" t="e">
        <v>#REF!</v>
      </c>
      <c r="Q71" s="616">
        <v>0</v>
      </c>
      <c r="R71" s="616">
        <v>4939583</v>
      </c>
      <c r="S71" s="616">
        <v>5061000</v>
      </c>
      <c r="T71" s="616">
        <v>5300000</v>
      </c>
      <c r="U71" s="616">
        <v>5966000</v>
      </c>
      <c r="V71" s="616">
        <v>6076000</v>
      </c>
      <c r="W71" s="616">
        <v>5683000</v>
      </c>
      <c r="X71" s="616">
        <v>5708000</v>
      </c>
      <c r="Y71" s="616">
        <v>5593000</v>
      </c>
      <c r="Z71" s="616">
        <v>5627000</v>
      </c>
      <c r="AA71" s="616">
        <v>5658000</v>
      </c>
      <c r="AB71" s="616">
        <v>5718000</v>
      </c>
      <c r="AC71" s="694"/>
      <c r="AD71" s="547"/>
    </row>
    <row r="72" spans="1:30">
      <c r="A72" s="34"/>
      <c r="B72" s="788"/>
      <c r="C72" s="613"/>
      <c r="D72" s="613"/>
      <c r="E72" s="795" t="s">
        <v>1421</v>
      </c>
      <c r="F72" s="702" t="e">
        <v>#REF!</v>
      </c>
      <c r="G72" s="702" t="e">
        <v>#REF!</v>
      </c>
      <c r="H72" s="702" t="e">
        <v>#REF!</v>
      </c>
      <c r="I72" s="702" t="e">
        <v>#REF!</v>
      </c>
      <c r="J72" s="702" t="e">
        <v>#REF!</v>
      </c>
      <c r="K72" s="702" t="e">
        <v>#REF!</v>
      </c>
      <c r="L72" s="702" t="e">
        <v>#REF!</v>
      </c>
      <c r="M72" s="702" t="e">
        <v>#REF!</v>
      </c>
      <c r="N72" s="702" t="e">
        <v>#REF!</v>
      </c>
      <c r="O72" s="702" t="e">
        <v>#REF!</v>
      </c>
      <c r="P72" s="702" t="e">
        <v>#REF!</v>
      </c>
      <c r="Q72" s="702">
        <v>0</v>
      </c>
      <c r="R72" s="702">
        <v>4143737</v>
      </c>
      <c r="S72" s="702">
        <v>4149000</v>
      </c>
      <c r="T72" s="702">
        <v>4263000</v>
      </c>
      <c r="U72" s="702">
        <v>4775000</v>
      </c>
      <c r="V72" s="702">
        <v>4721000</v>
      </c>
      <c r="W72" s="702">
        <v>4387000</v>
      </c>
      <c r="X72" s="702">
        <v>4257000</v>
      </c>
      <c r="Y72" s="702">
        <v>4055000</v>
      </c>
      <c r="Z72" s="702">
        <v>3929000</v>
      </c>
      <c r="AA72" s="702">
        <v>3786000</v>
      </c>
      <c r="AB72" s="702">
        <v>3646000</v>
      </c>
      <c r="AC72" s="1268"/>
      <c r="AD72" s="547"/>
    </row>
    <row r="73" spans="1:30">
      <c r="A73" s="34"/>
      <c r="B73" s="788"/>
      <c r="C73" s="613"/>
      <c r="D73" s="613"/>
      <c r="E73" s="1054" t="s">
        <v>407</v>
      </c>
      <c r="F73" s="616" t="e">
        <v>#REF!</v>
      </c>
      <c r="G73" s="616" t="e">
        <v>#REF!</v>
      </c>
      <c r="H73" s="616" t="e">
        <v>#REF!</v>
      </c>
      <c r="I73" s="616" t="e">
        <v>#REF!</v>
      </c>
      <c r="J73" s="616" t="e">
        <v>#REF!</v>
      </c>
      <c r="K73" s="616" t="e">
        <v>#REF!</v>
      </c>
      <c r="L73" s="616" t="e">
        <v>#REF!</v>
      </c>
      <c r="M73" s="616" t="e">
        <v>#REF!</v>
      </c>
      <c r="N73" s="616" t="e">
        <v>#REF!</v>
      </c>
      <c r="O73" s="616" t="e">
        <v>#REF!</v>
      </c>
      <c r="P73" s="616" t="e">
        <v>#REF!</v>
      </c>
      <c r="Q73" s="616">
        <v>0</v>
      </c>
      <c r="R73" s="616">
        <v>795846</v>
      </c>
      <c r="S73" s="616">
        <v>912000</v>
      </c>
      <c r="T73" s="616">
        <v>1037000</v>
      </c>
      <c r="U73" s="616">
        <v>1191000</v>
      </c>
      <c r="V73" s="616">
        <v>1355000</v>
      </c>
      <c r="W73" s="616">
        <v>1296000</v>
      </c>
      <c r="X73" s="616">
        <v>1451000</v>
      </c>
      <c r="Y73" s="616">
        <v>1538000</v>
      </c>
      <c r="Z73" s="616">
        <v>1698000</v>
      </c>
      <c r="AA73" s="616">
        <v>1872000</v>
      </c>
      <c r="AB73" s="616">
        <v>2072000</v>
      </c>
      <c r="AC73" s="1267"/>
      <c r="AD73" s="547"/>
    </row>
    <row r="74" spans="1:30">
      <c r="A74" s="34"/>
      <c r="B74" s="788"/>
      <c r="C74" s="613"/>
      <c r="D74" s="613"/>
      <c r="E74" s="1055" t="s">
        <v>1279</v>
      </c>
      <c r="F74" s="126" t="e">
        <v>#REF!</v>
      </c>
      <c r="G74" s="126" t="e">
        <v>#REF!</v>
      </c>
      <c r="H74" s="126" t="e">
        <v>#REF!</v>
      </c>
      <c r="I74" s="126" t="e">
        <v>#REF!</v>
      </c>
      <c r="J74" s="126" t="e">
        <v>#REF!</v>
      </c>
      <c r="K74" s="126" t="e">
        <v>#REF!</v>
      </c>
      <c r="L74" s="126" t="e">
        <v>#REF!</v>
      </c>
      <c r="M74" s="126" t="e">
        <v>#REF!</v>
      </c>
      <c r="N74" s="126" t="e">
        <v>#REF!</v>
      </c>
      <c r="O74" s="126" t="e">
        <v>#REF!</v>
      </c>
      <c r="P74" s="126" t="e">
        <v>#REF!</v>
      </c>
      <c r="Q74" s="791"/>
      <c r="R74" s="791">
        <v>0.16111602943001463</v>
      </c>
      <c r="S74" s="791">
        <v>0.18020154119739182</v>
      </c>
      <c r="T74" s="791">
        <v>0.19566037735849057</v>
      </c>
      <c r="U74" s="791">
        <v>0.19963124371438148</v>
      </c>
      <c r="V74" s="791">
        <v>0.22300855826201449</v>
      </c>
      <c r="W74" s="791">
        <v>0.22804856589829314</v>
      </c>
      <c r="X74" s="791">
        <v>0.25420462508759634</v>
      </c>
      <c r="Y74" s="791">
        <v>0.27498659038083317</v>
      </c>
      <c r="Z74" s="791">
        <v>0.3017593744446419</v>
      </c>
      <c r="AA74" s="791">
        <v>0.33085896076352067</v>
      </c>
      <c r="AB74" s="791">
        <v>0.36236446309898568</v>
      </c>
      <c r="AC74" s="694"/>
      <c r="AD74" s="547"/>
    </row>
    <row r="75" spans="1:30">
      <c r="A75" s="34"/>
      <c r="B75" s="788"/>
      <c r="C75" s="613"/>
      <c r="D75" s="613"/>
      <c r="E75" s="105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694"/>
      <c r="AD75" s="547"/>
    </row>
    <row r="76" spans="1:30">
      <c r="A76" s="34"/>
      <c r="B76" s="788"/>
      <c r="C76" s="1052"/>
      <c r="D76" s="1052"/>
      <c r="E76" s="1461" t="s">
        <v>24</v>
      </c>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694"/>
      <c r="AD76" s="547"/>
    </row>
    <row r="77" spans="1:30">
      <c r="A77" s="34"/>
      <c r="B77" s="788"/>
      <c r="C77" s="613"/>
      <c r="D77" s="613"/>
      <c r="E77" s="795" t="s">
        <v>408</v>
      </c>
      <c r="F77" s="616">
        <v>0</v>
      </c>
      <c r="G77" s="616">
        <v>77813</v>
      </c>
      <c r="H77" s="616">
        <v>0</v>
      </c>
      <c r="I77" s="616">
        <v>0</v>
      </c>
      <c r="J77" s="616">
        <v>600000</v>
      </c>
      <c r="K77" s="616">
        <v>0</v>
      </c>
      <c r="L77" s="616">
        <v>0</v>
      </c>
      <c r="M77" s="616">
        <v>1800000</v>
      </c>
      <c r="N77" s="616">
        <v>1455000</v>
      </c>
      <c r="O77" s="616">
        <v>0</v>
      </c>
      <c r="P77" s="616">
        <v>0</v>
      </c>
      <c r="R77" s="616">
        <v>2563615</v>
      </c>
      <c r="S77" s="616">
        <v>2563615</v>
      </c>
      <c r="T77" s="616">
        <v>2563615</v>
      </c>
      <c r="U77" s="616">
        <v>2563615</v>
      </c>
      <c r="V77" s="616">
        <v>2563615</v>
      </c>
      <c r="W77" s="616">
        <v>2563615</v>
      </c>
      <c r="X77" s="616">
        <v>2563615</v>
      </c>
      <c r="Y77" s="616">
        <v>2563615</v>
      </c>
      <c r="Z77" s="616">
        <v>2563615</v>
      </c>
      <c r="AA77" s="616">
        <v>2563615</v>
      </c>
      <c r="AB77" s="616">
        <v>2563615</v>
      </c>
      <c r="AC77" s="616"/>
      <c r="AD77" s="547"/>
    </row>
    <row r="78" spans="1:30">
      <c r="A78" s="34"/>
      <c r="B78" s="788"/>
      <c r="C78" s="613"/>
      <c r="D78" s="613"/>
      <c r="E78" s="1049"/>
      <c r="F78" s="616"/>
      <c r="G78" s="616"/>
      <c r="H78" s="616"/>
      <c r="I78" s="616"/>
      <c r="J78" s="616"/>
      <c r="K78" s="616"/>
      <c r="L78" s="616"/>
      <c r="M78" s="616"/>
      <c r="N78" s="616"/>
      <c r="O78" s="616"/>
      <c r="P78" s="616"/>
      <c r="Q78" s="616"/>
      <c r="R78" s="791"/>
      <c r="S78" s="791"/>
      <c r="T78" s="791"/>
      <c r="U78" s="791"/>
      <c r="V78" s="791"/>
      <c r="W78" s="791"/>
      <c r="X78" s="791"/>
      <c r="Y78" s="791"/>
      <c r="Z78" s="791"/>
      <c r="AA78" s="791"/>
      <c r="AB78" s="791"/>
      <c r="AC78" s="694"/>
      <c r="AD78" s="547"/>
    </row>
    <row r="79" spans="1:30">
      <c r="A79" s="34"/>
      <c r="B79" s="788"/>
      <c r="C79" s="1052"/>
      <c r="D79" s="1052"/>
      <c r="E79" s="1053" t="s">
        <v>409</v>
      </c>
      <c r="F79" s="616"/>
      <c r="G79" s="616"/>
      <c r="H79" s="616"/>
      <c r="I79" s="616"/>
      <c r="J79" s="616"/>
      <c r="K79" s="616"/>
      <c r="L79" s="616"/>
      <c r="M79" s="616"/>
      <c r="N79" s="616"/>
      <c r="O79" s="616"/>
      <c r="P79" s="616"/>
      <c r="Q79" s="616"/>
      <c r="R79" s="616"/>
      <c r="S79" s="616"/>
      <c r="T79" s="616"/>
      <c r="U79" s="616"/>
      <c r="V79" s="616"/>
      <c r="W79" s="616"/>
      <c r="X79" s="616"/>
      <c r="Y79" s="616"/>
      <c r="Z79" s="616"/>
      <c r="AA79" s="616"/>
      <c r="AB79" s="616"/>
      <c r="AC79" s="694"/>
      <c r="AD79" s="547"/>
    </row>
    <row r="80" spans="1:30">
      <c r="A80" s="34"/>
      <c r="B80" s="788"/>
      <c r="C80" s="1052"/>
      <c r="D80" s="1052" t="s">
        <v>1418</v>
      </c>
      <c r="E80" s="1462" t="s">
        <v>1266</v>
      </c>
      <c r="F80" s="616"/>
      <c r="G80" s="616"/>
      <c r="H80" s="616"/>
      <c r="I80" s="616"/>
      <c r="J80" s="616"/>
      <c r="K80" s="616"/>
      <c r="L80" s="616"/>
      <c r="M80" s="616"/>
      <c r="N80" s="616"/>
      <c r="O80" s="616"/>
      <c r="P80" s="616"/>
      <c r="Q80" s="616"/>
      <c r="R80" s="892">
        <v>0.51899421469383145</v>
      </c>
      <c r="S80" s="892">
        <v>0.50654317328591192</v>
      </c>
      <c r="T80" s="892">
        <v>0.48370094339622643</v>
      </c>
      <c r="U80" s="892">
        <v>0.4297041568890379</v>
      </c>
      <c r="V80" s="892">
        <v>0.42192478604344963</v>
      </c>
      <c r="W80" s="892">
        <v>0.45110241069857471</v>
      </c>
      <c r="X80" s="892">
        <v>0.44912666433076381</v>
      </c>
      <c r="Y80" s="892">
        <v>0.45836134453781513</v>
      </c>
      <c r="Z80" s="892">
        <v>0.455591789585925</v>
      </c>
      <c r="AA80" s="892">
        <v>0.45309561682573346</v>
      </c>
      <c r="AB80" s="892">
        <v>0.44834120321790838</v>
      </c>
      <c r="AC80" s="694"/>
      <c r="AD80" s="547"/>
    </row>
    <row r="81" spans="1:30">
      <c r="A81" s="34"/>
      <c r="B81" s="788"/>
      <c r="C81" s="1052"/>
      <c r="D81" s="1052" t="s">
        <v>1419</v>
      </c>
      <c r="E81" s="1107" t="s">
        <v>1422</v>
      </c>
      <c r="F81" s="616"/>
      <c r="G81" s="616"/>
      <c r="H81" s="616"/>
      <c r="I81" s="616"/>
      <c r="J81" s="616"/>
      <c r="K81" s="616"/>
      <c r="L81" s="616"/>
      <c r="M81" s="616"/>
      <c r="N81" s="616"/>
      <c r="O81" s="616"/>
      <c r="P81" s="616"/>
      <c r="Q81" s="616"/>
      <c r="R81" s="791">
        <v>0.61867222750864737</v>
      </c>
      <c r="S81" s="791">
        <v>0.61788744275729091</v>
      </c>
      <c r="T81" s="791">
        <v>0.60136406286652588</v>
      </c>
      <c r="U81" s="791">
        <v>0.53688272251308899</v>
      </c>
      <c r="V81" s="791">
        <v>0.54302372378733321</v>
      </c>
      <c r="W81" s="791">
        <v>0.58436630955094593</v>
      </c>
      <c r="X81" s="791">
        <v>0.60221165139769794</v>
      </c>
      <c r="Y81" s="791">
        <v>0.63221085080147965</v>
      </c>
      <c r="Z81" s="791">
        <v>0.6524853652328837</v>
      </c>
      <c r="AA81" s="791">
        <v>0.67713021658742734</v>
      </c>
      <c r="AB81" s="791">
        <v>0.70313082830499174</v>
      </c>
      <c r="AC81" s="694"/>
      <c r="AD81" s="547"/>
    </row>
    <row r="82" spans="1:30">
      <c r="A82" s="34"/>
      <c r="B82" s="788"/>
      <c r="C82" s="1052"/>
      <c r="D82" s="1052"/>
      <c r="AC82" s="694"/>
      <c r="AD82" s="547"/>
    </row>
    <row r="83" spans="1:30">
      <c r="A83" s="34"/>
      <c r="B83" s="788"/>
      <c r="C83" s="1052"/>
      <c r="D83" s="1052"/>
      <c r="E83" s="336" t="s">
        <v>1425</v>
      </c>
      <c r="F83" s="1357"/>
      <c r="G83" s="1357"/>
      <c r="H83" s="616"/>
      <c r="I83" s="616"/>
      <c r="J83" s="616"/>
      <c r="K83" s="616"/>
      <c r="L83" s="616"/>
      <c r="M83" s="616"/>
      <c r="N83" s="616"/>
      <c r="O83" s="616"/>
      <c r="P83" s="616"/>
      <c r="Q83" s="616"/>
      <c r="R83" s="616"/>
      <c r="S83" s="616"/>
      <c r="T83" s="616"/>
      <c r="U83" s="616"/>
      <c r="V83" s="616"/>
      <c r="W83" s="616"/>
      <c r="X83" s="616"/>
      <c r="Y83" s="616"/>
      <c r="Z83" s="616"/>
      <c r="AA83" s="616"/>
      <c r="AB83" s="616"/>
      <c r="AC83" s="694"/>
      <c r="AD83" s="547"/>
    </row>
    <row r="84" spans="1:30">
      <c r="A84" s="34"/>
      <c r="B84" s="788"/>
      <c r="C84" s="1052"/>
      <c r="D84" s="1052"/>
      <c r="E84" s="1408" t="s">
        <v>1268</v>
      </c>
      <c r="F84" s="1183"/>
      <c r="G84" s="1183"/>
      <c r="H84" s="616"/>
      <c r="I84" s="616"/>
      <c r="J84" s="616"/>
      <c r="K84" s="616"/>
      <c r="L84" s="616"/>
      <c r="M84" s="616"/>
      <c r="N84" s="616"/>
      <c r="O84" s="616"/>
      <c r="P84" s="616"/>
      <c r="Q84" s="616"/>
      <c r="R84" s="707">
        <v>72920.244147127407</v>
      </c>
      <c r="S84" s="707">
        <v>82059.994072317728</v>
      </c>
      <c r="T84" s="707">
        <v>78359.552830188681</v>
      </c>
      <c r="U84" s="707">
        <v>69182.369259135099</v>
      </c>
      <c r="V84" s="707">
        <v>70039.514483212639</v>
      </c>
      <c r="W84" s="707">
        <v>72627.488122470531</v>
      </c>
      <c r="X84" s="707">
        <v>70962.012964260677</v>
      </c>
      <c r="Y84" s="707">
        <v>76546.344537815123</v>
      </c>
      <c r="Z84" s="707">
        <v>72894.686333748003</v>
      </c>
      <c r="AA84" s="707">
        <v>80197.924178154819</v>
      </c>
      <c r="AB84" s="707">
        <v>89668.240643581681</v>
      </c>
      <c r="AC84" s="694"/>
      <c r="AD84" s="547"/>
    </row>
    <row r="85" spans="1:30">
      <c r="A85" s="34"/>
      <c r="B85" s="788"/>
      <c r="C85" s="1052"/>
      <c r="D85" s="1052"/>
      <c r="E85" s="1408" t="s">
        <v>1269</v>
      </c>
      <c r="F85" s="1183"/>
      <c r="G85" s="1183"/>
      <c r="H85" s="616"/>
      <c r="I85" s="616"/>
      <c r="J85" s="616"/>
      <c r="K85" s="616"/>
      <c r="L85" s="616"/>
      <c r="M85" s="616"/>
      <c r="N85" s="616"/>
      <c r="O85" s="616"/>
      <c r="P85" s="616"/>
      <c r="Q85" s="616"/>
      <c r="R85" s="702">
        <v>-67582.755852872593</v>
      </c>
      <c r="S85" s="702">
        <v>-79940.005927682272</v>
      </c>
      <c r="T85" s="702">
        <v>-83640.447169811319</v>
      </c>
      <c r="U85" s="702">
        <v>-91817.630740864901</v>
      </c>
      <c r="V85" s="702">
        <v>-95960.485516787361</v>
      </c>
      <c r="W85" s="702">
        <v>-88372.511877529469</v>
      </c>
      <c r="X85" s="702">
        <v>-87037.987035739323</v>
      </c>
      <c r="Y85" s="702">
        <v>-90453.655462184877</v>
      </c>
      <c r="Z85" s="702">
        <v>-87105.313666251997</v>
      </c>
      <c r="AA85" s="702">
        <v>-96802.075821845181</v>
      </c>
      <c r="AB85" s="702">
        <v>-110331.75935641832</v>
      </c>
      <c r="AC85" s="694"/>
      <c r="AD85" s="547"/>
    </row>
    <row r="86" spans="1:30">
      <c r="A86" s="34"/>
      <c r="B86" s="788"/>
      <c r="C86" s="1052"/>
      <c r="D86" s="1052"/>
      <c r="E86" s="1408" t="s">
        <v>1270</v>
      </c>
      <c r="F86" s="1183"/>
      <c r="G86" s="1183"/>
      <c r="H86" s="616"/>
      <c r="I86" s="616"/>
      <c r="J86" s="616"/>
      <c r="K86" s="616"/>
      <c r="L86" s="616"/>
      <c r="M86" s="616"/>
      <c r="N86" s="616"/>
      <c r="O86" s="616"/>
      <c r="P86" s="616"/>
      <c r="Q86" s="616"/>
      <c r="R86" s="616">
        <v>140503</v>
      </c>
      <c r="S86" s="616">
        <v>162000</v>
      </c>
      <c r="T86" s="616">
        <v>162000</v>
      </c>
      <c r="U86" s="616">
        <v>161000</v>
      </c>
      <c r="V86" s="616">
        <v>166000</v>
      </c>
      <c r="W86" s="616">
        <v>161000</v>
      </c>
      <c r="X86" s="616">
        <v>158000</v>
      </c>
      <c r="Y86" s="616">
        <v>167000</v>
      </c>
      <c r="Z86" s="616">
        <v>160000</v>
      </c>
      <c r="AA86" s="616">
        <v>177000</v>
      </c>
      <c r="AB86" s="616">
        <v>200000</v>
      </c>
      <c r="AC86" s="694"/>
      <c r="AD86" s="547"/>
    </row>
    <row r="87" spans="1:30">
      <c r="A87" s="34"/>
      <c r="B87" s="788"/>
      <c r="C87" s="1052"/>
      <c r="D87" s="1052"/>
      <c r="E87" s="1408"/>
      <c r="F87" s="1183"/>
      <c r="G87" s="1183"/>
      <c r="H87" s="616"/>
      <c r="I87" s="616"/>
      <c r="J87" s="616"/>
      <c r="K87" s="616"/>
      <c r="L87" s="616"/>
      <c r="M87" s="616"/>
      <c r="N87" s="616"/>
      <c r="O87" s="616"/>
      <c r="P87" s="616"/>
      <c r="Q87" s="616"/>
      <c r="R87" s="616"/>
      <c r="S87" s="616"/>
      <c r="T87" s="616"/>
      <c r="U87" s="616"/>
      <c r="V87" s="616"/>
      <c r="W87" s="616"/>
      <c r="X87" s="616"/>
      <c r="Y87" s="616"/>
      <c r="Z87" s="616"/>
      <c r="AA87" s="616"/>
      <c r="AB87" s="616"/>
      <c r="AC87" s="694"/>
      <c r="AD87" s="547"/>
    </row>
    <row r="88" spans="1:30">
      <c r="A88" s="34"/>
      <c r="B88" s="788"/>
      <c r="C88" s="1052"/>
      <c r="D88" s="1052"/>
      <c r="E88" s="1408" t="s">
        <v>1424</v>
      </c>
      <c r="F88" s="1183"/>
      <c r="G88" s="1183"/>
      <c r="H88" s="616"/>
      <c r="I88" s="616"/>
      <c r="J88" s="616"/>
      <c r="K88" s="616"/>
      <c r="L88" s="616"/>
      <c r="M88" s="616"/>
      <c r="N88" s="616"/>
      <c r="O88" s="616"/>
      <c r="P88" s="616"/>
      <c r="Q88" s="616"/>
      <c r="R88" s="707">
        <v>72920.244147127407</v>
      </c>
      <c r="S88" s="707">
        <v>154980.23821944513</v>
      </c>
      <c r="T88" s="707">
        <v>233339.79104963382</v>
      </c>
      <c r="U88" s="707">
        <v>302522.16030876891</v>
      </c>
      <c r="V88" s="707">
        <v>372561.67479198158</v>
      </c>
      <c r="W88" s="707">
        <v>445189.16291445214</v>
      </c>
      <c r="X88" s="707">
        <v>516151.17587871279</v>
      </c>
      <c r="Y88" s="707">
        <v>592697.52041652787</v>
      </c>
      <c r="Z88" s="707">
        <v>665592.20675027592</v>
      </c>
      <c r="AA88" s="707">
        <v>745790.13092843071</v>
      </c>
      <c r="AB88" s="707">
        <v>835458.37157201243</v>
      </c>
      <c r="AC88" s="694"/>
      <c r="AD88" s="547"/>
    </row>
    <row r="89" spans="1:30">
      <c r="A89" s="34"/>
      <c r="B89" s="788"/>
      <c r="C89" s="1052"/>
      <c r="D89" s="1052"/>
      <c r="E89" s="1408"/>
      <c r="F89" s="1183"/>
      <c r="G89" s="1183"/>
      <c r="H89" s="616"/>
      <c r="I89" s="616"/>
      <c r="J89" s="616"/>
      <c r="K89" s="616"/>
      <c r="L89" s="616"/>
      <c r="M89" s="616"/>
      <c r="N89" s="616"/>
      <c r="O89" s="616"/>
      <c r="P89" s="616"/>
      <c r="Q89" s="616"/>
      <c r="R89" s="707"/>
      <c r="S89" s="707"/>
      <c r="T89" s="707"/>
      <c r="U89" s="707"/>
      <c r="V89" s="707"/>
      <c r="W89" s="707"/>
      <c r="X89" s="707"/>
      <c r="Y89" s="707"/>
      <c r="Z89" s="707"/>
      <c r="AA89" s="707"/>
      <c r="AB89" s="707"/>
      <c r="AC89" s="694"/>
      <c r="AD89" s="547"/>
    </row>
    <row r="90" spans="1:30" ht="15">
      <c r="A90" s="520">
        <v>3160</v>
      </c>
      <c r="B90" s="520" t="s">
        <v>394</v>
      </c>
      <c r="C90" s="1046"/>
      <c r="D90" s="1046"/>
      <c r="E90" s="1612"/>
      <c r="F90" s="1613"/>
      <c r="G90" s="693"/>
      <c r="H90" s="693"/>
      <c r="I90" s="693"/>
      <c r="J90" s="693"/>
      <c r="K90" s="693"/>
      <c r="L90" s="693"/>
      <c r="M90" s="693"/>
      <c r="N90" s="693"/>
      <c r="O90" s="693"/>
      <c r="P90" s="693"/>
      <c r="Q90" s="1127"/>
      <c r="R90" s="1127"/>
      <c r="S90" s="1127"/>
      <c r="T90" s="1127"/>
      <c r="U90" s="1127"/>
      <c r="V90" s="1127"/>
      <c r="W90" s="1127"/>
      <c r="X90" s="1127"/>
      <c r="Y90" s="1127"/>
      <c r="Z90" s="1127"/>
      <c r="AA90" s="1127"/>
      <c r="AB90" s="1127"/>
      <c r="AC90" s="1113"/>
      <c r="AD90" s="547"/>
    </row>
    <row r="91" spans="1:30" ht="12.75" customHeight="1">
      <c r="A91" s="1607"/>
      <c r="B91" s="1607"/>
      <c r="C91" s="1607"/>
      <c r="D91" s="1531"/>
      <c r="E91" s="613" t="s">
        <v>403</v>
      </c>
      <c r="F91" s="694" t="e">
        <v>#REF!</v>
      </c>
      <c r="G91" s="694" t="e">
        <v>#REF!</v>
      </c>
      <c r="H91" s="694" t="e">
        <v>#REF!</v>
      </c>
      <c r="I91" s="694" t="e">
        <v>#REF!</v>
      </c>
      <c r="J91" s="694" t="e">
        <v>#REF!</v>
      </c>
      <c r="K91" s="694" t="e">
        <v>#REF!</v>
      </c>
      <c r="L91" s="694" t="e">
        <v>#REF!</v>
      </c>
      <c r="M91" s="694" t="e">
        <v>#REF!</v>
      </c>
      <c r="N91" s="694" t="e">
        <v>#REF!</v>
      </c>
      <c r="O91" s="694" t="e">
        <v>#REF!</v>
      </c>
      <c r="P91" s="694" t="e">
        <v>#REF!</v>
      </c>
      <c r="Q91" s="694"/>
      <c r="R91" s="694">
        <v>-1138</v>
      </c>
      <c r="S91" s="694">
        <v>-2205</v>
      </c>
      <c r="T91" s="694">
        <v>-3205</v>
      </c>
      <c r="U91" s="694">
        <v>-3205</v>
      </c>
      <c r="V91" s="694">
        <v>-1205</v>
      </c>
      <c r="W91" s="694">
        <v>-2205</v>
      </c>
      <c r="X91" s="694">
        <v>-6205</v>
      </c>
      <c r="Y91" s="694">
        <v>-2205</v>
      </c>
      <c r="Z91" s="694">
        <v>-205</v>
      </c>
      <c r="AA91" s="694">
        <v>-2205</v>
      </c>
      <c r="AB91" s="694">
        <v>-3205</v>
      </c>
      <c r="AC91" s="694"/>
      <c r="AD91" s="547"/>
    </row>
    <row r="92" spans="1:30">
      <c r="A92" s="1607"/>
      <c r="B92" s="1607"/>
      <c r="C92" s="1607"/>
      <c r="D92" s="1531"/>
      <c r="E92" s="1120" t="s">
        <v>967</v>
      </c>
      <c r="F92" s="695" t="e">
        <v>#REF!</v>
      </c>
      <c r="G92" s="695" t="e">
        <v>#REF!</v>
      </c>
      <c r="H92" s="695" t="e">
        <v>#REF!</v>
      </c>
      <c r="I92" s="695" t="e">
        <v>#REF!</v>
      </c>
      <c r="J92" s="695" t="e">
        <v>#REF!</v>
      </c>
      <c r="K92" s="695" t="e">
        <v>#REF!</v>
      </c>
      <c r="L92" s="695" t="e">
        <v>#REF!</v>
      </c>
      <c r="M92" s="695" t="e">
        <v>#REF!</v>
      </c>
      <c r="N92" s="695" t="e">
        <v>#REF!</v>
      </c>
      <c r="O92" s="695" t="e">
        <v>#REF!</v>
      </c>
      <c r="P92" s="695" t="e">
        <v>#REF!</v>
      </c>
      <c r="Q92" s="695"/>
      <c r="R92" s="695">
        <v>72920.244147127407</v>
      </c>
      <c r="S92" s="695">
        <v>154980.23821944513</v>
      </c>
      <c r="T92" s="695">
        <v>233339.79104963382</v>
      </c>
      <c r="U92" s="695">
        <v>302522.16030876891</v>
      </c>
      <c r="V92" s="695">
        <v>372561.67479198158</v>
      </c>
      <c r="W92" s="695">
        <v>445189.16291445214</v>
      </c>
      <c r="X92" s="695">
        <v>516151.17587871279</v>
      </c>
      <c r="Y92" s="695">
        <v>592697.52041652787</v>
      </c>
      <c r="Z92" s="695">
        <v>665592.20675027592</v>
      </c>
      <c r="AA92" s="695">
        <v>745790.13092843071</v>
      </c>
      <c r="AB92" s="695">
        <v>835458.37157201243</v>
      </c>
      <c r="AC92" s="694"/>
      <c r="AD92" s="547"/>
    </row>
    <row r="93" spans="1:30">
      <c r="A93" s="1607"/>
      <c r="B93" s="1607"/>
      <c r="C93" s="1607"/>
      <c r="D93" s="1531"/>
      <c r="E93" s="613" t="s">
        <v>411</v>
      </c>
      <c r="F93" s="771" t="e">
        <v>#REF!</v>
      </c>
      <c r="G93" s="771" t="e">
        <v>#REF!</v>
      </c>
      <c r="H93" s="771" t="e">
        <v>#REF!</v>
      </c>
      <c r="I93" s="771" t="e">
        <v>#REF!</v>
      </c>
      <c r="J93" s="771" t="e">
        <v>#REF!</v>
      </c>
      <c r="K93" s="771" t="e">
        <v>#REF!</v>
      </c>
      <c r="L93" s="771" t="e">
        <v>#REF!</v>
      </c>
      <c r="M93" s="771" t="e">
        <v>#REF!</v>
      </c>
      <c r="N93" s="771" t="e">
        <v>#REF!</v>
      </c>
      <c r="O93" s="771" t="e">
        <v>#REF!</v>
      </c>
      <c r="P93" s="771" t="e">
        <v>#REF!</v>
      </c>
      <c r="Q93" s="771"/>
      <c r="R93" s="771">
        <v>71782.244147127407</v>
      </c>
      <c r="S93" s="771">
        <v>152775.23821944513</v>
      </c>
      <c r="T93" s="771">
        <v>230134.79104963382</v>
      </c>
      <c r="U93" s="771">
        <v>299317.16030876891</v>
      </c>
      <c r="V93" s="771">
        <v>371356.67479198158</v>
      </c>
      <c r="W93" s="771">
        <v>442984.16291445214</v>
      </c>
      <c r="X93" s="771">
        <v>509946.17587871279</v>
      </c>
      <c r="Y93" s="771">
        <v>590492.52041652787</v>
      </c>
      <c r="Z93" s="771">
        <v>665387.20675027592</v>
      </c>
      <c r="AA93" s="771">
        <v>743585.13092843071</v>
      </c>
      <c r="AB93" s="771">
        <v>832253.37157201243</v>
      </c>
      <c r="AC93" s="694" t="s">
        <v>412</v>
      </c>
      <c r="AD93" s="547"/>
    </row>
    <row r="94" spans="1:30">
      <c r="A94" s="978"/>
      <c r="B94" s="978"/>
      <c r="C94" s="978"/>
      <c r="D94" s="978"/>
      <c r="E94" s="721"/>
      <c r="F94" s="1059"/>
      <c r="G94" s="1059"/>
      <c r="H94" s="1059"/>
      <c r="I94" s="1059"/>
      <c r="J94" s="1059"/>
      <c r="K94" s="1059"/>
      <c r="L94" s="1059"/>
      <c r="M94" s="1059"/>
      <c r="N94" s="1059"/>
      <c r="O94" s="1059"/>
      <c r="P94" s="1059"/>
      <c r="Q94" s="1059"/>
      <c r="R94" s="1059"/>
      <c r="S94" s="1059"/>
      <c r="T94" s="1059"/>
      <c r="U94" s="1059"/>
      <c r="V94" s="1059"/>
      <c r="W94" s="1059"/>
      <c r="X94" s="1059"/>
      <c r="Y94" s="1059"/>
      <c r="Z94" s="1059"/>
      <c r="AA94" s="1059"/>
      <c r="AB94" s="1059"/>
      <c r="AC94" s="695"/>
      <c r="AD94" s="547"/>
    </row>
    <row r="95" spans="1:30" ht="12.75" hidden="1" customHeight="1">
      <c r="A95" s="520">
        <v>3160</v>
      </c>
      <c r="B95" s="520" t="s">
        <v>1257</v>
      </c>
      <c r="C95" s="1046"/>
      <c r="D95" s="1046"/>
      <c r="E95" s="613"/>
      <c r="F95" s="771"/>
      <c r="G95" s="771"/>
      <c r="H95" s="771"/>
      <c r="I95" s="771"/>
      <c r="J95" s="771"/>
      <c r="K95" s="771"/>
      <c r="L95" s="771"/>
      <c r="M95" s="771"/>
      <c r="N95" s="771"/>
      <c r="O95" s="771"/>
      <c r="P95" s="771"/>
      <c r="Q95" s="771"/>
      <c r="R95" s="771"/>
      <c r="S95" s="771"/>
      <c r="T95" s="771"/>
      <c r="U95" s="771"/>
      <c r="V95" s="771"/>
      <c r="W95" s="771"/>
      <c r="X95" s="771"/>
      <c r="Y95" s="771"/>
      <c r="Z95" s="771"/>
      <c r="AA95" s="771"/>
      <c r="AB95" s="771"/>
      <c r="AC95" s="694"/>
      <c r="AD95" s="547"/>
    </row>
    <row r="96" spans="1:30" ht="12.75" hidden="1" customHeight="1">
      <c r="A96" s="1076" t="s">
        <v>413</v>
      </c>
      <c r="B96" s="1077" t="s">
        <v>414</v>
      </c>
      <c r="C96" s="1068"/>
      <c r="D96" s="1068"/>
      <c r="E96" s="45" t="s">
        <v>415</v>
      </c>
      <c r="F96" s="689"/>
      <c r="G96" s="689"/>
      <c r="H96" s="689"/>
      <c r="I96" s="689"/>
      <c r="J96" s="689"/>
      <c r="K96" s="689"/>
      <c r="L96" s="689"/>
      <c r="M96" s="689"/>
      <c r="N96" s="689"/>
      <c r="O96" s="689"/>
      <c r="P96" s="689"/>
      <c r="Q96" s="689"/>
      <c r="R96" s="689"/>
      <c r="S96" s="689"/>
      <c r="T96" s="689"/>
      <c r="U96" s="689"/>
      <c r="V96" s="689"/>
      <c r="W96" s="689"/>
      <c r="X96" s="689"/>
      <c r="Y96" s="689"/>
      <c r="Z96" s="689"/>
      <c r="AA96" s="689"/>
      <c r="AB96" s="689"/>
      <c r="AC96" s="694"/>
      <c r="AD96" s="547"/>
    </row>
    <row r="97" spans="1:30" ht="12.75" hidden="1" customHeight="1">
      <c r="A97" s="42"/>
      <c r="B97" s="42" t="s">
        <v>416</v>
      </c>
      <c r="C97" s="42"/>
      <c r="D97" s="42"/>
      <c r="E97" s="45"/>
      <c r="F97" s="689" t="e">
        <v>#REF!</v>
      </c>
      <c r="G97" s="689" t="e">
        <v>#REF!</v>
      </c>
      <c r="H97" s="689" t="e">
        <v>#REF!</v>
      </c>
      <c r="I97" s="689" t="e">
        <v>#REF!</v>
      </c>
      <c r="J97" s="689" t="e">
        <v>#REF!</v>
      </c>
      <c r="K97" s="689" t="e">
        <v>#REF!</v>
      </c>
      <c r="L97" s="689" t="e">
        <v>#REF!</v>
      </c>
      <c r="M97" s="689" t="e">
        <v>#REF!</v>
      </c>
      <c r="N97" s="689" t="e">
        <v>#REF!</v>
      </c>
      <c r="O97" s="689" t="e">
        <v>#REF!</v>
      </c>
      <c r="P97" s="689" t="e">
        <v>#REF!</v>
      </c>
      <c r="Q97" s="689"/>
      <c r="R97" s="1410">
        <v>71782.244147127407</v>
      </c>
      <c r="S97" s="1410">
        <v>152775.23821944513</v>
      </c>
      <c r="T97" s="1410">
        <v>230134.79104963382</v>
      </c>
      <c r="U97" s="1410">
        <v>299317.16030876891</v>
      </c>
      <c r="V97" s="1410">
        <v>371356.67479198158</v>
      </c>
      <c r="W97" s="1410">
        <v>442984.16291445214</v>
      </c>
      <c r="X97" s="1410">
        <v>509946.17587871279</v>
      </c>
      <c r="Y97" s="1410">
        <v>590492.52041652787</v>
      </c>
      <c r="Z97" s="1410">
        <v>665387.20675027592</v>
      </c>
      <c r="AA97" s="1410">
        <v>743585.13092843071</v>
      </c>
      <c r="AB97" s="1410">
        <v>832253.37157201243</v>
      </c>
      <c r="AC97" s="694"/>
      <c r="AD97" s="547"/>
    </row>
    <row r="98" spans="1:30" ht="12.75" hidden="1" customHeight="1">
      <c r="A98" s="42"/>
      <c r="B98" s="42" t="s">
        <v>417</v>
      </c>
      <c r="C98" s="42"/>
      <c r="D98" s="42"/>
      <c r="E98" s="45"/>
      <c r="F98" s="689"/>
      <c r="G98" s="689"/>
      <c r="H98" s="689"/>
      <c r="I98" s="689">
        <v>11824</v>
      </c>
      <c r="J98" s="689">
        <v>22104</v>
      </c>
      <c r="K98" s="689">
        <v>41443</v>
      </c>
      <c r="L98" s="689">
        <v>60814</v>
      </c>
      <c r="M98" s="689">
        <v>103897</v>
      </c>
      <c r="N98" s="689">
        <v>164557</v>
      </c>
      <c r="O98" s="689">
        <v>199485</v>
      </c>
      <c r="P98" s="689">
        <v>405640</v>
      </c>
      <c r="Q98" s="689"/>
      <c r="R98" s="1410">
        <v>598241</v>
      </c>
      <c r="S98" s="1410">
        <v>694681</v>
      </c>
      <c r="T98" s="1410">
        <v>830489</v>
      </c>
      <c r="U98" s="1410">
        <v>986203</v>
      </c>
      <c r="V98" s="1410">
        <v>1185299</v>
      </c>
      <c r="W98" s="1410">
        <v>1366005</v>
      </c>
      <c r="X98" s="1410">
        <v>1653154</v>
      </c>
      <c r="Y98" s="1410">
        <v>1883509</v>
      </c>
      <c r="Z98" s="1410">
        <v>2054192</v>
      </c>
      <c r="AA98" s="1410">
        <v>2487658</v>
      </c>
      <c r="AB98" s="1410">
        <v>2581474</v>
      </c>
      <c r="AC98" s="694"/>
      <c r="AD98" s="547"/>
    </row>
    <row r="99" spans="1:30" ht="12.75" hidden="1" customHeight="1">
      <c r="A99" s="42"/>
      <c r="B99" s="42" t="s">
        <v>418</v>
      </c>
      <c r="C99" s="42"/>
      <c r="D99" s="42"/>
      <c r="E99" s="45"/>
      <c r="F99" s="689"/>
      <c r="G99" s="689"/>
      <c r="H99" s="689"/>
      <c r="I99" s="689">
        <v>11824</v>
      </c>
      <c r="J99" s="689">
        <v>22104</v>
      </c>
      <c r="K99" s="689">
        <v>41443</v>
      </c>
      <c r="L99" s="689">
        <v>60814</v>
      </c>
      <c r="M99" s="689">
        <v>103897</v>
      </c>
      <c r="N99" s="689">
        <v>164557</v>
      </c>
      <c r="O99" s="689">
        <v>199485</v>
      </c>
      <c r="P99" s="689">
        <v>405640</v>
      </c>
      <c r="Q99" s="689"/>
      <c r="R99" s="1410">
        <v>598241</v>
      </c>
      <c r="S99" s="1410">
        <v>694681</v>
      </c>
      <c r="T99" s="1410">
        <v>830489</v>
      </c>
      <c r="U99" s="1410">
        <v>986203</v>
      </c>
      <c r="V99" s="1410">
        <v>1185299</v>
      </c>
      <c r="W99" s="1410">
        <v>1366005</v>
      </c>
      <c r="X99" s="1410">
        <v>1653154</v>
      </c>
      <c r="Y99" s="1410">
        <v>1883509</v>
      </c>
      <c r="Z99" s="1410">
        <v>2054192</v>
      </c>
      <c r="AA99" s="1410">
        <v>2487658</v>
      </c>
      <c r="AB99" s="1410">
        <v>2581474</v>
      </c>
      <c r="AC99" s="694"/>
      <c r="AD99" s="547"/>
    </row>
    <row r="100" spans="1:30" ht="12.75" hidden="1" customHeight="1">
      <c r="A100" s="1078">
        <v>3160</v>
      </c>
      <c r="B100" s="1066" t="s">
        <v>419</v>
      </c>
      <c r="C100" s="1066"/>
      <c r="D100" s="1066"/>
      <c r="E100" s="45"/>
      <c r="F100" s="689"/>
      <c r="G100" s="689"/>
      <c r="H100" s="689"/>
      <c r="I100" s="689"/>
      <c r="J100" s="689"/>
      <c r="K100" s="689"/>
      <c r="L100" s="689"/>
      <c r="M100" s="689"/>
      <c r="N100" s="689"/>
      <c r="O100" s="689"/>
      <c r="P100" s="689"/>
      <c r="Q100" s="689"/>
      <c r="R100" s="689"/>
      <c r="S100" s="689"/>
      <c r="T100" s="689"/>
      <c r="U100" s="689"/>
      <c r="V100" s="689"/>
      <c r="W100" s="689"/>
      <c r="X100" s="689"/>
      <c r="Y100" s="689"/>
      <c r="Z100" s="689"/>
      <c r="AA100" s="689"/>
      <c r="AB100" s="689"/>
      <c r="AC100" s="694"/>
      <c r="AD100" s="547"/>
    </row>
    <row r="101" spans="1:30" ht="12.75" hidden="1" customHeight="1">
      <c r="A101" s="42"/>
      <c r="B101" s="42"/>
      <c r="C101" s="42"/>
      <c r="D101" s="42"/>
      <c r="E101" s="45"/>
      <c r="F101" s="689"/>
      <c r="G101" s="689"/>
      <c r="H101" s="689"/>
      <c r="I101" s="689"/>
      <c r="J101" s="689"/>
      <c r="K101" s="689"/>
      <c r="L101" s="689"/>
      <c r="M101" s="689"/>
      <c r="N101" s="689"/>
      <c r="O101" s="689"/>
      <c r="P101" s="689"/>
      <c r="Q101" s="689"/>
      <c r="R101" s="689"/>
      <c r="S101" s="689"/>
      <c r="T101" s="689"/>
      <c r="U101" s="689"/>
      <c r="V101" s="689"/>
      <c r="W101" s="689"/>
      <c r="X101" s="689"/>
      <c r="Y101" s="689"/>
      <c r="Z101" s="689"/>
      <c r="AA101" s="689"/>
      <c r="AB101" s="689"/>
      <c r="AC101" s="694"/>
      <c r="AD101" s="547"/>
    </row>
    <row r="102" spans="1:30" ht="12.75" hidden="1" customHeight="1">
      <c r="A102" s="1076" t="s">
        <v>420</v>
      </c>
      <c r="B102" s="1077" t="s">
        <v>421</v>
      </c>
      <c r="C102" s="1068"/>
      <c r="D102" s="1068"/>
      <c r="E102" s="576" t="s">
        <v>415</v>
      </c>
      <c r="F102" s="689"/>
      <c r="G102" s="689"/>
      <c r="H102" s="689"/>
      <c r="I102" s="689"/>
      <c r="J102" s="689"/>
      <c r="K102" s="689"/>
      <c r="L102" s="689"/>
      <c r="M102" s="689"/>
      <c r="N102" s="689"/>
      <c r="O102" s="689"/>
      <c r="P102" s="689"/>
      <c r="Q102" s="689"/>
      <c r="R102" s="689"/>
      <c r="S102" s="689"/>
      <c r="T102" s="689"/>
      <c r="U102" s="689"/>
      <c r="V102" s="689"/>
      <c r="W102" s="689"/>
      <c r="X102" s="689"/>
      <c r="Y102" s="689"/>
      <c r="Z102" s="689"/>
      <c r="AA102" s="689"/>
      <c r="AB102" s="689"/>
      <c r="AC102" s="694"/>
      <c r="AD102" s="547"/>
    </row>
    <row r="103" spans="1:30" ht="12.75" hidden="1" customHeight="1">
      <c r="A103" s="42"/>
      <c r="B103" s="42" t="s">
        <v>422</v>
      </c>
      <c r="C103" s="42"/>
      <c r="D103" s="42"/>
      <c r="E103" s="45"/>
      <c r="F103" s="689"/>
      <c r="G103" s="689"/>
      <c r="H103" s="689"/>
      <c r="I103" s="689">
        <v>0</v>
      </c>
      <c r="J103" s="689">
        <v>0</v>
      </c>
      <c r="K103" s="689">
        <v>5085</v>
      </c>
      <c r="L103" s="689">
        <v>8541</v>
      </c>
      <c r="M103" s="689">
        <v>15732</v>
      </c>
      <c r="N103" s="689">
        <v>15732</v>
      </c>
      <c r="O103" s="689">
        <v>15732</v>
      </c>
      <c r="P103" s="689">
        <v>24926</v>
      </c>
      <c r="Q103" s="689"/>
      <c r="R103" s="1410">
        <v>54218</v>
      </c>
      <c r="S103" s="1410">
        <v>114318</v>
      </c>
      <c r="T103" s="1410">
        <v>139118</v>
      </c>
      <c r="U103" s="1410">
        <v>139118</v>
      </c>
      <c r="V103" s="1410">
        <v>177118</v>
      </c>
      <c r="W103" s="1410">
        <v>173118</v>
      </c>
      <c r="X103" s="1410">
        <v>183118</v>
      </c>
      <c r="Y103" s="1410">
        <v>185118</v>
      </c>
      <c r="Z103" s="1410">
        <v>190118</v>
      </c>
      <c r="AA103" s="1410">
        <v>248118</v>
      </c>
      <c r="AB103" s="1410">
        <v>242118</v>
      </c>
      <c r="AC103" s="694"/>
      <c r="AD103" s="547"/>
    </row>
    <row r="104" spans="1:30" ht="12.75" hidden="1" customHeight="1">
      <c r="A104" s="42"/>
      <c r="B104" s="42" t="s">
        <v>410</v>
      </c>
      <c r="C104" s="42"/>
      <c r="D104" s="42"/>
      <c r="E104" s="45"/>
      <c r="F104" s="689"/>
      <c r="G104" s="689"/>
      <c r="H104" s="689"/>
      <c r="I104" s="689">
        <v>0</v>
      </c>
      <c r="J104" s="689">
        <v>0</v>
      </c>
      <c r="K104" s="689">
        <v>0</v>
      </c>
      <c r="L104" s="689">
        <v>0</v>
      </c>
      <c r="M104" s="689">
        <v>0</v>
      </c>
      <c r="N104" s="689">
        <v>-658</v>
      </c>
      <c r="O104" s="689">
        <v>-46155</v>
      </c>
      <c r="P104" s="689">
        <v>67954</v>
      </c>
      <c r="Q104" s="689"/>
      <c r="R104" s="1410">
        <v>7556</v>
      </c>
      <c r="S104" s="1410">
        <v>-98744</v>
      </c>
      <c r="T104" s="1410">
        <v>-131844</v>
      </c>
      <c r="U104" s="1410">
        <v>-102844</v>
      </c>
      <c r="V104" s="1410">
        <v>-86844</v>
      </c>
      <c r="W104" s="1410">
        <v>-59844</v>
      </c>
      <c r="X104" s="1410">
        <v>28156</v>
      </c>
      <c r="Y104" s="1410">
        <v>63150</v>
      </c>
      <c r="Z104" s="1410">
        <v>22156</v>
      </c>
      <c r="AA104" s="1410">
        <v>155156</v>
      </c>
      <c r="AB104" s="1410">
        <v>6156</v>
      </c>
      <c r="AC104" s="694"/>
      <c r="AD104" s="547"/>
    </row>
    <row r="105" spans="1:30" ht="12.75" hidden="1" customHeight="1">
      <c r="A105" s="42"/>
      <c r="B105" s="42" t="s">
        <v>365</v>
      </c>
      <c r="C105" s="42"/>
      <c r="D105" s="42"/>
      <c r="E105" s="45"/>
      <c r="F105" s="1067"/>
      <c r="G105" s="1067"/>
      <c r="H105" s="1067"/>
      <c r="I105" s="1067">
        <v>11824</v>
      </c>
      <c r="J105" s="1067">
        <v>22104</v>
      </c>
      <c r="K105" s="1067">
        <v>36358</v>
      </c>
      <c r="L105" s="1067">
        <v>52273</v>
      </c>
      <c r="M105" s="1067">
        <v>88165</v>
      </c>
      <c r="N105" s="1067">
        <v>149483</v>
      </c>
      <c r="O105" s="1067">
        <v>229908</v>
      </c>
      <c r="P105" s="1067">
        <v>312760</v>
      </c>
      <c r="Q105" s="1067"/>
      <c r="R105" s="1411">
        <v>536467</v>
      </c>
      <c r="S105" s="1411">
        <v>679107</v>
      </c>
      <c r="T105" s="1411">
        <v>823215</v>
      </c>
      <c r="U105" s="1411">
        <v>949929</v>
      </c>
      <c r="V105" s="1411">
        <v>1095025</v>
      </c>
      <c r="W105" s="1411">
        <v>1252731</v>
      </c>
      <c r="X105" s="1411">
        <v>1441880</v>
      </c>
      <c r="Y105" s="1411">
        <v>1635241</v>
      </c>
      <c r="Z105" s="1411">
        <v>1841918</v>
      </c>
      <c r="AA105" s="1411">
        <v>2084384</v>
      </c>
      <c r="AB105" s="1411">
        <v>2333200</v>
      </c>
      <c r="AC105" s="694"/>
      <c r="AD105" s="547"/>
    </row>
    <row r="106" spans="1:30" ht="12.75" hidden="1" customHeight="1">
      <c r="A106" s="1078">
        <v>3160</v>
      </c>
      <c r="B106" s="1066" t="s">
        <v>419</v>
      </c>
      <c r="C106" s="42"/>
      <c r="D106" s="42"/>
      <c r="E106" s="45"/>
      <c r="F106" s="689"/>
      <c r="G106" s="689"/>
      <c r="H106" s="689"/>
      <c r="I106" s="689">
        <v>11824</v>
      </c>
      <c r="J106" s="689">
        <v>22104</v>
      </c>
      <c r="K106" s="689">
        <v>41443</v>
      </c>
      <c r="L106" s="689">
        <v>60814</v>
      </c>
      <c r="M106" s="689">
        <v>103897</v>
      </c>
      <c r="N106" s="689">
        <v>164557</v>
      </c>
      <c r="O106" s="689">
        <v>199485</v>
      </c>
      <c r="P106" s="689">
        <v>405640</v>
      </c>
      <c r="Q106" s="689"/>
      <c r="R106" s="1410">
        <v>598241</v>
      </c>
      <c r="S106" s="1410">
        <v>694681</v>
      </c>
      <c r="T106" s="1410">
        <v>830489</v>
      </c>
      <c r="U106" s="1410">
        <v>986203</v>
      </c>
      <c r="V106" s="1410">
        <v>1185299</v>
      </c>
      <c r="W106" s="1410">
        <v>1366005</v>
      </c>
      <c r="X106" s="1410">
        <v>1653154</v>
      </c>
      <c r="Y106" s="1410">
        <v>1883509</v>
      </c>
      <c r="Z106" s="1410">
        <v>2054192</v>
      </c>
      <c r="AA106" s="1410">
        <v>2487658</v>
      </c>
      <c r="AB106" s="1410">
        <v>2581474</v>
      </c>
      <c r="AC106" s="694"/>
      <c r="AD106" s="547"/>
    </row>
    <row r="107" spans="1:30" ht="12.75" hidden="1" customHeight="1">
      <c r="A107" s="42"/>
      <c r="B107" s="1079" t="s">
        <v>93</v>
      </c>
      <c r="C107" s="42"/>
      <c r="D107" s="42"/>
      <c r="E107" s="45"/>
      <c r="F107" s="689"/>
      <c r="G107" s="689"/>
      <c r="H107" s="689"/>
      <c r="I107" s="689">
        <v>0</v>
      </c>
      <c r="J107" s="689">
        <v>0</v>
      </c>
      <c r="K107" s="689">
        <v>0</v>
      </c>
      <c r="L107" s="689">
        <v>0</v>
      </c>
      <c r="M107" s="689">
        <v>0</v>
      </c>
      <c r="N107" s="689">
        <v>0</v>
      </c>
      <c r="O107" s="689">
        <v>0</v>
      </c>
      <c r="P107" s="689">
        <v>0</v>
      </c>
      <c r="Q107" s="689"/>
      <c r="R107" s="689">
        <v>0</v>
      </c>
      <c r="S107" s="689">
        <v>0</v>
      </c>
      <c r="T107" s="689">
        <v>0</v>
      </c>
      <c r="U107" s="689">
        <v>0</v>
      </c>
      <c r="V107" s="689">
        <v>0</v>
      </c>
      <c r="W107" s="689">
        <v>0</v>
      </c>
      <c r="X107" s="689">
        <v>0</v>
      </c>
      <c r="Y107" s="689">
        <v>0</v>
      </c>
      <c r="Z107" s="689">
        <v>0</v>
      </c>
      <c r="AA107" s="689">
        <v>0</v>
      </c>
      <c r="AB107" s="689">
        <v>0</v>
      </c>
      <c r="AC107" s="694"/>
      <c r="AD107" s="547"/>
    </row>
    <row r="108" spans="1:30" ht="12.75" hidden="1" customHeight="1">
      <c r="A108" s="42"/>
      <c r="B108" s="42"/>
      <c r="C108" s="42"/>
      <c r="D108" s="42"/>
      <c r="E108" s="45"/>
      <c r="F108" s="6"/>
      <c r="G108" s="6"/>
      <c r="H108" s="6"/>
      <c r="I108" s="6"/>
      <c r="J108" s="6"/>
      <c r="K108" s="6"/>
      <c r="L108" s="6"/>
      <c r="M108" s="6"/>
      <c r="N108" s="6"/>
      <c r="O108" s="6"/>
      <c r="P108" s="6"/>
      <c r="Q108" s="6"/>
      <c r="R108" s="6"/>
      <c r="S108" s="6"/>
      <c r="T108" s="6"/>
      <c r="U108" s="6"/>
      <c r="V108" s="6"/>
      <c r="W108" s="6"/>
      <c r="X108" s="6"/>
      <c r="Y108" s="6"/>
      <c r="Z108" s="6"/>
      <c r="AA108" s="6"/>
      <c r="AB108" s="6"/>
      <c r="AC108" s="694"/>
      <c r="AD108" s="547"/>
    </row>
    <row r="109" spans="1:30" ht="12.75" hidden="1" customHeight="1">
      <c r="A109" s="1076" t="s">
        <v>423</v>
      </c>
      <c r="B109" s="1077" t="s">
        <v>424</v>
      </c>
      <c r="C109" s="1068"/>
      <c r="D109" s="1068"/>
      <c r="E109" s="576" t="s">
        <v>425</v>
      </c>
      <c r="F109" s="6"/>
      <c r="G109" s="6"/>
      <c r="H109" s="6"/>
      <c r="I109" s="6"/>
      <c r="J109" s="6"/>
      <c r="K109" s="6"/>
      <c r="L109" s="6"/>
      <c r="M109" s="6"/>
      <c r="N109" s="6"/>
      <c r="O109" s="6"/>
      <c r="P109" s="6"/>
      <c r="Q109" s="6"/>
      <c r="R109" s="6"/>
      <c r="S109" s="6"/>
      <c r="T109" s="6"/>
      <c r="U109" s="6"/>
      <c r="V109" s="6"/>
      <c r="W109" s="6"/>
      <c r="X109" s="6"/>
      <c r="Y109" s="6"/>
      <c r="Z109" s="6"/>
      <c r="AA109" s="6"/>
      <c r="AB109" s="6"/>
      <c r="AC109" s="694"/>
      <c r="AD109" s="547"/>
    </row>
    <row r="110" spans="1:30" ht="12.75" hidden="1" customHeight="1">
      <c r="A110" s="42"/>
      <c r="B110" s="42" t="s">
        <v>422</v>
      </c>
      <c r="C110" s="42"/>
      <c r="D110" s="42"/>
      <c r="E110" s="45"/>
      <c r="F110" s="6"/>
      <c r="G110" s="6"/>
      <c r="H110" s="6"/>
      <c r="I110" s="42">
        <v>0</v>
      </c>
      <c r="J110" s="42">
        <v>0</v>
      </c>
      <c r="K110" s="42">
        <v>5085</v>
      </c>
      <c r="L110" s="42">
        <v>3456</v>
      </c>
      <c r="M110" s="42">
        <v>7191</v>
      </c>
      <c r="N110" s="42">
        <v>0</v>
      </c>
      <c r="O110" s="42">
        <v>0</v>
      </c>
      <c r="P110" s="42">
        <v>9194</v>
      </c>
      <c r="Q110" s="42"/>
      <c r="R110" s="1412">
        <v>54218</v>
      </c>
      <c r="S110" s="1412">
        <v>60100</v>
      </c>
      <c r="T110" s="1412">
        <v>24800</v>
      </c>
      <c r="U110" s="1412">
        <v>0</v>
      </c>
      <c r="V110" s="1412">
        <v>38000</v>
      </c>
      <c r="W110" s="1412">
        <v>-4000</v>
      </c>
      <c r="X110" s="1412">
        <v>10000</v>
      </c>
      <c r="Y110" s="1412">
        <v>2000</v>
      </c>
      <c r="Z110" s="1412">
        <v>5000</v>
      </c>
      <c r="AA110" s="1412">
        <v>58000</v>
      </c>
      <c r="AB110" s="1412">
        <v>-6000</v>
      </c>
      <c r="AC110" s="694"/>
      <c r="AD110" s="547"/>
    </row>
    <row r="111" spans="1:30" ht="12.75" hidden="1" customHeight="1">
      <c r="A111" s="42"/>
      <c r="B111" s="42" t="s">
        <v>410</v>
      </c>
      <c r="C111" s="42"/>
      <c r="D111" s="42"/>
      <c r="E111" s="45"/>
      <c r="F111" s="6"/>
      <c r="G111" s="6"/>
      <c r="H111" s="6"/>
      <c r="I111" s="42">
        <v>0</v>
      </c>
      <c r="J111" s="42">
        <v>0</v>
      </c>
      <c r="K111" s="42">
        <v>0</v>
      </c>
      <c r="L111" s="42">
        <v>0</v>
      </c>
      <c r="M111" s="42">
        <v>0</v>
      </c>
      <c r="N111" s="42">
        <v>-658</v>
      </c>
      <c r="O111" s="42">
        <v>-45497</v>
      </c>
      <c r="P111" s="42">
        <v>114109</v>
      </c>
      <c r="Q111" s="42"/>
      <c r="R111" s="1412">
        <v>7556</v>
      </c>
      <c r="S111" s="1412">
        <v>-106300</v>
      </c>
      <c r="T111" s="1412">
        <v>-33100</v>
      </c>
      <c r="U111" s="1412">
        <v>29000</v>
      </c>
      <c r="V111" s="1412">
        <v>16000</v>
      </c>
      <c r="W111" s="1412">
        <v>27000</v>
      </c>
      <c r="X111" s="1412">
        <v>88000</v>
      </c>
      <c r="Y111" s="1412">
        <v>34994</v>
      </c>
      <c r="Z111" s="1412">
        <v>-40994</v>
      </c>
      <c r="AA111" s="1412">
        <v>133000</v>
      </c>
      <c r="AB111" s="1412">
        <v>-149000</v>
      </c>
      <c r="AC111" s="694"/>
      <c r="AD111" s="547"/>
    </row>
    <row r="112" spans="1:30" ht="12.75" hidden="1" customHeight="1">
      <c r="A112" s="42"/>
      <c r="B112" s="42" t="s">
        <v>365</v>
      </c>
      <c r="C112" s="42"/>
      <c r="D112" s="42"/>
      <c r="E112" s="45"/>
      <c r="F112" s="80"/>
      <c r="G112" s="80"/>
      <c r="H112" s="80"/>
      <c r="I112" s="1068">
        <v>11824</v>
      </c>
      <c r="J112" s="1068">
        <v>10280</v>
      </c>
      <c r="K112" s="1068">
        <v>14254</v>
      </c>
      <c r="L112" s="1068">
        <v>15915</v>
      </c>
      <c r="M112" s="1068">
        <v>35892</v>
      </c>
      <c r="N112" s="1068">
        <v>61318</v>
      </c>
      <c r="O112" s="1068">
        <v>80425</v>
      </c>
      <c r="P112" s="1068">
        <v>82852</v>
      </c>
      <c r="Q112" s="1068"/>
      <c r="R112" s="1413">
        <v>536467</v>
      </c>
      <c r="S112" s="1413">
        <v>142640</v>
      </c>
      <c r="T112" s="1413">
        <v>144108</v>
      </c>
      <c r="U112" s="1413">
        <v>126714</v>
      </c>
      <c r="V112" s="1413">
        <v>145096</v>
      </c>
      <c r="W112" s="1413">
        <v>157706</v>
      </c>
      <c r="X112" s="1413">
        <v>189149</v>
      </c>
      <c r="Y112" s="1413">
        <v>193361</v>
      </c>
      <c r="Z112" s="1413">
        <v>206677</v>
      </c>
      <c r="AA112" s="1413">
        <v>242466</v>
      </c>
      <c r="AB112" s="1413">
        <v>248816</v>
      </c>
      <c r="AC112" s="694"/>
      <c r="AD112" s="547"/>
    </row>
    <row r="113" spans="1:33" ht="12.75" hidden="1" customHeight="1">
      <c r="A113" s="1078">
        <v>3160</v>
      </c>
      <c r="B113" s="1066" t="s">
        <v>419</v>
      </c>
      <c r="C113" s="42"/>
      <c r="D113" s="42"/>
      <c r="E113" s="45"/>
      <c r="F113" s="6"/>
      <c r="G113" s="6"/>
      <c r="H113" s="6"/>
      <c r="I113" s="1066">
        <v>11824</v>
      </c>
      <c r="J113" s="1066">
        <v>10280</v>
      </c>
      <c r="K113" s="1066">
        <v>19339</v>
      </c>
      <c r="L113" s="1066">
        <v>19371</v>
      </c>
      <c r="M113" s="1066">
        <v>43083</v>
      </c>
      <c r="N113" s="1066">
        <v>60660</v>
      </c>
      <c r="O113" s="1066">
        <v>34928</v>
      </c>
      <c r="P113" s="1066">
        <v>206155</v>
      </c>
      <c r="Q113" s="1066"/>
      <c r="R113" s="1066">
        <v>598241</v>
      </c>
      <c r="S113" s="1066">
        <v>96440</v>
      </c>
      <c r="T113" s="1066">
        <v>135808</v>
      </c>
      <c r="U113" s="1066">
        <v>155714</v>
      </c>
      <c r="V113" s="1066">
        <v>199096</v>
      </c>
      <c r="W113" s="1066">
        <v>180706</v>
      </c>
      <c r="X113" s="1066">
        <v>287149</v>
      </c>
      <c r="Y113" s="1066">
        <v>230355</v>
      </c>
      <c r="Z113" s="1066">
        <v>170683</v>
      </c>
      <c r="AA113" s="1066">
        <v>433466</v>
      </c>
      <c r="AB113" s="1066">
        <v>93816</v>
      </c>
      <c r="AC113" s="694"/>
      <c r="AD113" s="547"/>
    </row>
    <row r="114" spans="1:33">
      <c r="A114" s="520">
        <v>3170</v>
      </c>
      <c r="B114" s="1075" t="s">
        <v>426</v>
      </c>
      <c r="C114" s="955"/>
      <c r="D114" s="955"/>
      <c r="AC114" s="694"/>
      <c r="AD114" s="689"/>
      <c r="AF114" s="689"/>
      <c r="AG114" s="689"/>
    </row>
    <row r="115" spans="1:33">
      <c r="A115" s="1483"/>
      <c r="B115" s="1156"/>
      <c r="C115" s="1120"/>
      <c r="D115" s="1120"/>
      <c r="E115" s="721" t="s">
        <v>24</v>
      </c>
      <c r="AC115" s="694"/>
      <c r="AD115" s="689"/>
      <c r="AF115" s="689"/>
      <c r="AG115" s="689"/>
    </row>
    <row r="116" spans="1:33">
      <c r="A116" s="1483"/>
      <c r="B116" s="1156"/>
      <c r="C116" s="1120"/>
      <c r="D116" s="1120"/>
      <c r="E116" s="34" t="s">
        <v>1493</v>
      </c>
      <c r="F116" s="771"/>
      <c r="G116" s="771"/>
      <c r="H116" s="771"/>
      <c r="I116" s="771"/>
      <c r="J116" s="771"/>
      <c r="K116" s="771"/>
      <c r="L116" s="771"/>
      <c r="M116" s="771"/>
      <c r="N116" s="771"/>
      <c r="O116" s="771"/>
      <c r="P116" s="771"/>
      <c r="Q116" s="771"/>
      <c r="R116" s="1484" t="s">
        <v>1431</v>
      </c>
      <c r="S116" s="1484" t="s">
        <v>1431</v>
      </c>
      <c r="T116" s="1484" t="s">
        <v>1431</v>
      </c>
      <c r="U116" s="1484" t="s">
        <v>1431</v>
      </c>
      <c r="V116" s="1484" t="s">
        <v>1431</v>
      </c>
      <c r="W116" s="1484" t="s">
        <v>1431</v>
      </c>
      <c r="X116" s="1484" t="s">
        <v>1431</v>
      </c>
      <c r="Y116" s="1484" t="s">
        <v>1431</v>
      </c>
      <c r="Z116" s="1484" t="s">
        <v>1431</v>
      </c>
      <c r="AA116" s="1484" t="s">
        <v>1431</v>
      </c>
      <c r="AB116" s="1484" t="s">
        <v>1431</v>
      </c>
      <c r="AC116" s="694"/>
      <c r="AD116" s="689"/>
      <c r="AF116" s="689"/>
      <c r="AG116" s="689"/>
    </row>
    <row r="117" spans="1:33">
      <c r="A117" s="1483"/>
      <c r="B117" s="1156"/>
      <c r="C117" s="1120"/>
      <c r="D117" s="1120"/>
      <c r="E117" s="34" t="s">
        <v>1494</v>
      </c>
      <c r="F117" s="771"/>
      <c r="G117" s="771"/>
      <c r="H117" s="771"/>
      <c r="I117" s="771"/>
      <c r="J117" s="771"/>
      <c r="K117" s="771"/>
      <c r="L117" s="771"/>
      <c r="M117" s="771"/>
      <c r="N117" s="771"/>
      <c r="O117" s="771"/>
      <c r="P117" s="771"/>
      <c r="Q117" s="771"/>
      <c r="R117" s="1484" t="s">
        <v>1431</v>
      </c>
      <c r="S117" s="1484" t="s">
        <v>1431</v>
      </c>
      <c r="T117" s="1484" t="s">
        <v>1431</v>
      </c>
      <c r="U117" s="1484" t="s">
        <v>1431</v>
      </c>
      <c r="V117" s="1484" t="s">
        <v>1431</v>
      </c>
      <c r="W117" s="1484" t="s">
        <v>1431</v>
      </c>
      <c r="X117" s="1484" t="s">
        <v>1431</v>
      </c>
      <c r="Y117" s="1484" t="s">
        <v>1431</v>
      </c>
      <c r="Z117" s="1484" t="s">
        <v>1431</v>
      </c>
      <c r="AA117" s="1484" t="s">
        <v>1431</v>
      </c>
      <c r="AB117" s="1484" t="s">
        <v>1431</v>
      </c>
      <c r="AC117" s="694"/>
      <c r="AD117" s="689"/>
      <c r="AF117" s="689"/>
      <c r="AG117" s="689"/>
    </row>
    <row r="118" spans="1:33">
      <c r="A118" s="1483"/>
      <c r="B118" s="1156"/>
      <c r="C118" s="1120"/>
      <c r="D118" s="1120"/>
      <c r="E118" s="613"/>
      <c r="F118" s="771"/>
      <c r="G118" s="771"/>
      <c r="H118" s="771"/>
      <c r="I118" s="771"/>
      <c r="J118" s="771"/>
      <c r="K118" s="771"/>
      <c r="L118" s="771"/>
      <c r="M118" s="771"/>
      <c r="N118" s="771"/>
      <c r="O118" s="771"/>
      <c r="P118" s="771"/>
      <c r="Q118" s="771"/>
      <c r="R118" s="1484"/>
      <c r="S118" s="1484"/>
      <c r="T118" s="1484"/>
      <c r="U118" s="1484"/>
      <c r="V118" s="1484"/>
      <c r="W118" s="1484"/>
      <c r="X118" s="1484"/>
      <c r="Y118" s="1484"/>
      <c r="Z118" s="1484"/>
      <c r="AA118" s="1484"/>
      <c r="AB118" s="1484"/>
      <c r="AC118" s="694"/>
      <c r="AD118" s="689"/>
      <c r="AF118" s="689"/>
      <c r="AG118" s="689"/>
    </row>
    <row r="119" spans="1:33">
      <c r="A119" s="1483"/>
      <c r="B119" s="1156"/>
      <c r="C119" s="1120"/>
      <c r="D119" s="1120"/>
      <c r="E119" s="721" t="s">
        <v>1495</v>
      </c>
      <c r="F119" s="771"/>
      <c r="G119" s="771"/>
      <c r="H119" s="771"/>
      <c r="I119" s="771"/>
      <c r="J119" s="771"/>
      <c r="K119" s="771"/>
      <c r="L119" s="771"/>
      <c r="M119" s="771"/>
      <c r="N119" s="771"/>
      <c r="O119" s="771"/>
      <c r="P119" s="771"/>
      <c r="Q119" s="771"/>
      <c r="R119" s="1484"/>
      <c r="S119" s="1484"/>
      <c r="T119" s="1484"/>
      <c r="U119" s="1484"/>
      <c r="V119" s="1484"/>
      <c r="W119" s="1484"/>
      <c r="X119" s="1484"/>
      <c r="Y119" s="1484"/>
      <c r="Z119" s="1484"/>
      <c r="AA119" s="1484"/>
      <c r="AB119" s="1484"/>
      <c r="AC119" s="694"/>
      <c r="AD119" s="689"/>
      <c r="AF119" s="689"/>
      <c r="AG119" s="689"/>
    </row>
    <row r="120" spans="1:33">
      <c r="A120" s="733"/>
      <c r="B120" s="1"/>
      <c r="C120" s="34"/>
      <c r="D120" s="34"/>
      <c r="E120" s="613" t="s">
        <v>255</v>
      </c>
      <c r="F120" s="694">
        <v>5014</v>
      </c>
      <c r="G120" s="694">
        <v>28728</v>
      </c>
      <c r="H120" s="694">
        <v>66401</v>
      </c>
      <c r="I120" s="694">
        <v>92031</v>
      </c>
      <c r="J120" s="694">
        <v>138871</v>
      </c>
      <c r="K120" s="694">
        <v>145260</v>
      </c>
      <c r="L120" s="694">
        <v>179168</v>
      </c>
      <c r="M120" s="694">
        <v>970959</v>
      </c>
      <c r="N120" s="694">
        <v>1331772</v>
      </c>
      <c r="O120" s="694">
        <v>1329478</v>
      </c>
      <c r="P120" s="694">
        <v>1301231</v>
      </c>
      <c r="Q120" s="694"/>
      <c r="R120" s="694">
        <v>680204</v>
      </c>
      <c r="S120" s="694">
        <v>700479</v>
      </c>
      <c r="T120" s="694">
        <v>735000</v>
      </c>
      <c r="U120" s="694">
        <v>768000</v>
      </c>
      <c r="V120" s="694">
        <v>792000</v>
      </c>
      <c r="W120" s="694">
        <v>736000</v>
      </c>
      <c r="X120" s="694">
        <v>749000</v>
      </c>
      <c r="Y120" s="694">
        <v>751000</v>
      </c>
      <c r="Z120" s="694">
        <v>676000</v>
      </c>
      <c r="AA120" s="694">
        <v>653000</v>
      </c>
      <c r="AB120" s="694">
        <v>635000</v>
      </c>
      <c r="AC120" s="694"/>
      <c r="AD120" s="689"/>
      <c r="AF120" s="689"/>
      <c r="AG120" s="689"/>
    </row>
    <row r="121" spans="1:33">
      <c r="A121" s="733"/>
      <c r="B121" s="1"/>
      <c r="C121" s="34"/>
      <c r="D121" s="34"/>
      <c r="E121" s="613" t="s">
        <v>1426</v>
      </c>
      <c r="F121" s="694"/>
      <c r="G121" s="694"/>
      <c r="H121" s="694"/>
      <c r="I121" s="694"/>
      <c r="J121" s="694"/>
      <c r="K121" s="694"/>
      <c r="L121" s="694"/>
      <c r="M121" s="694"/>
      <c r="N121" s="694"/>
      <c r="O121" s="694"/>
      <c r="P121" s="694"/>
      <c r="Q121" s="694"/>
      <c r="R121" s="1057" t="s">
        <v>1431</v>
      </c>
      <c r="S121" s="1057" t="s">
        <v>1431</v>
      </c>
      <c r="T121" s="1057" t="s">
        <v>1431</v>
      </c>
      <c r="U121" s="1057" t="s">
        <v>1431</v>
      </c>
      <c r="V121" s="1057" t="s">
        <v>1431</v>
      </c>
      <c r="W121" s="1057" t="s">
        <v>1431</v>
      </c>
      <c r="X121" s="1057" t="s">
        <v>1431</v>
      </c>
      <c r="Y121" s="1057" t="s">
        <v>1431</v>
      </c>
      <c r="Z121" s="1057" t="s">
        <v>1431</v>
      </c>
      <c r="AA121" s="1057" t="s">
        <v>1431</v>
      </c>
      <c r="AB121" s="1057" t="s">
        <v>1431</v>
      </c>
      <c r="AC121" s="694"/>
      <c r="AD121" s="689"/>
      <c r="AF121" s="689"/>
      <c r="AG121" s="689"/>
    </row>
    <row r="122" spans="1:33">
      <c r="A122" s="733"/>
      <c r="B122" s="1"/>
      <c r="C122" s="34"/>
      <c r="D122" s="34"/>
      <c r="E122" s="810" t="s">
        <v>1427</v>
      </c>
      <c r="F122" s="694"/>
      <c r="G122" s="694"/>
      <c r="H122" s="694"/>
      <c r="I122" s="694"/>
      <c r="J122" s="694"/>
      <c r="K122" s="694"/>
      <c r="L122" s="694"/>
      <c r="M122" s="694"/>
      <c r="N122" s="694"/>
      <c r="O122" s="694"/>
      <c r="P122" s="694"/>
      <c r="Q122" s="694"/>
      <c r="R122" s="694"/>
      <c r="S122" s="694">
        <v>20275</v>
      </c>
      <c r="T122" s="694">
        <v>34521</v>
      </c>
      <c r="U122" s="694">
        <v>33000</v>
      </c>
      <c r="V122" s="694">
        <v>24000</v>
      </c>
      <c r="W122" s="694">
        <v>-56000</v>
      </c>
      <c r="X122" s="694">
        <v>13000</v>
      </c>
      <c r="Y122" s="694">
        <v>2000</v>
      </c>
      <c r="Z122" s="694">
        <v>-75000</v>
      </c>
      <c r="AA122" s="694">
        <v>-23000</v>
      </c>
      <c r="AB122" s="694">
        <v>-18000</v>
      </c>
      <c r="AC122" s="694"/>
      <c r="AD122" s="689"/>
      <c r="AF122" s="689"/>
      <c r="AG122" s="689"/>
    </row>
    <row r="123" spans="1:33">
      <c r="A123" s="733"/>
      <c r="B123" s="1"/>
      <c r="C123" s="34"/>
      <c r="D123" s="34"/>
      <c r="E123" s="810" t="s">
        <v>1428</v>
      </c>
      <c r="F123" s="694"/>
      <c r="G123" s="694"/>
      <c r="H123" s="694"/>
      <c r="I123" s="694"/>
      <c r="J123" s="694"/>
      <c r="K123" s="694"/>
      <c r="L123" s="694"/>
      <c r="M123" s="694"/>
      <c r="N123" s="694"/>
      <c r="O123" s="694"/>
      <c r="P123" s="694"/>
      <c r="Q123" s="694"/>
      <c r="R123" s="694"/>
      <c r="S123" s="694">
        <v>19104</v>
      </c>
      <c r="T123" s="694">
        <v>18699</v>
      </c>
      <c r="U123" s="694">
        <v>34000</v>
      </c>
      <c r="V123" s="694">
        <v>31000</v>
      </c>
      <c r="W123" s="694">
        <v>-44000</v>
      </c>
      <c r="X123" s="694">
        <v>5000</v>
      </c>
      <c r="Y123" s="694">
        <v>-3000</v>
      </c>
      <c r="Z123" s="694">
        <v>-52000</v>
      </c>
      <c r="AA123" s="694">
        <v>-16000</v>
      </c>
      <c r="AB123" s="694">
        <v>-15000</v>
      </c>
      <c r="AC123" s="694"/>
      <c r="AD123" s="689"/>
      <c r="AF123" s="689"/>
      <c r="AG123" s="689"/>
    </row>
    <row r="124" spans="1:33">
      <c r="A124" s="733"/>
      <c r="B124" s="1"/>
      <c r="C124" s="34"/>
      <c r="D124" s="34"/>
      <c r="E124" s="810" t="s">
        <v>1429</v>
      </c>
      <c r="F124" s="694"/>
      <c r="G124" s="694"/>
      <c r="H124" s="694"/>
      <c r="I124" s="694"/>
      <c r="J124" s="694"/>
      <c r="K124" s="694"/>
      <c r="L124" s="694"/>
      <c r="M124" s="694"/>
      <c r="N124" s="694"/>
      <c r="O124" s="694"/>
      <c r="P124" s="694"/>
      <c r="Q124" s="694"/>
      <c r="R124" s="694"/>
      <c r="S124" s="695">
        <v>1171</v>
      </c>
      <c r="T124" s="695">
        <v>15822</v>
      </c>
      <c r="U124" s="695">
        <v>-1000</v>
      </c>
      <c r="V124" s="695">
        <v>-7000</v>
      </c>
      <c r="W124" s="695">
        <v>-12000</v>
      </c>
      <c r="X124" s="695">
        <v>8000</v>
      </c>
      <c r="Y124" s="695">
        <v>5000</v>
      </c>
      <c r="Z124" s="695">
        <v>-23000</v>
      </c>
      <c r="AA124" s="695">
        <v>-7000</v>
      </c>
      <c r="AB124" s="695">
        <v>-3000</v>
      </c>
      <c r="AC124" s="694"/>
      <c r="AD124" s="689"/>
      <c r="AF124" s="689"/>
      <c r="AG124" s="689"/>
    </row>
    <row r="125" spans="1:33">
      <c r="A125" s="733"/>
      <c r="B125" s="1"/>
      <c r="C125" s="34"/>
      <c r="D125" s="34"/>
      <c r="E125" s="613" t="s">
        <v>1430</v>
      </c>
      <c r="F125" s="694"/>
      <c r="G125" s="694"/>
      <c r="H125" s="694"/>
      <c r="I125" s="694"/>
      <c r="J125" s="694"/>
      <c r="K125" s="694"/>
      <c r="L125" s="694"/>
      <c r="M125" s="694"/>
      <c r="N125" s="694"/>
      <c r="O125" s="694"/>
      <c r="P125" s="694"/>
      <c r="Q125" s="694"/>
      <c r="R125" s="694"/>
      <c r="S125" s="694">
        <v>20275</v>
      </c>
      <c r="T125" s="694">
        <v>34521</v>
      </c>
      <c r="U125" s="694">
        <v>33000</v>
      </c>
      <c r="V125" s="694">
        <v>24000</v>
      </c>
      <c r="W125" s="694">
        <v>-56000</v>
      </c>
      <c r="X125" s="694">
        <v>13000</v>
      </c>
      <c r="Y125" s="694">
        <v>2000</v>
      </c>
      <c r="Z125" s="694">
        <v>-75000</v>
      </c>
      <c r="AA125" s="694">
        <v>-23000</v>
      </c>
      <c r="AB125" s="694">
        <v>-18000</v>
      </c>
      <c r="AC125" s="694"/>
      <c r="AD125" s="689"/>
      <c r="AF125" s="689"/>
      <c r="AG125" s="689"/>
    </row>
    <row r="126" spans="1:33">
      <c r="A126" s="34"/>
      <c r="B126" s="788"/>
      <c r="C126" s="34"/>
      <c r="D126" s="34"/>
      <c r="E126" s="613" t="s">
        <v>260</v>
      </c>
      <c r="F126" s="694" t="e">
        <v>#REF!</v>
      </c>
      <c r="G126" s="694" t="e">
        <v>#REF!</v>
      </c>
      <c r="H126" s="694" t="e">
        <v>#REF!</v>
      </c>
      <c r="I126" s="694" t="e">
        <v>#REF!</v>
      </c>
      <c r="J126" s="694" t="e">
        <v>#REF!</v>
      </c>
      <c r="K126" s="694" t="e">
        <v>#REF!</v>
      </c>
      <c r="L126" s="694" t="e">
        <v>#REF!</v>
      </c>
      <c r="M126" s="694" t="e">
        <v>#REF!</v>
      </c>
      <c r="N126" s="694" t="e">
        <v>#REF!</v>
      </c>
      <c r="O126" s="694" t="e">
        <v>#REF!</v>
      </c>
      <c r="P126" s="694" t="e">
        <v>#REF!</v>
      </c>
      <c r="Q126" s="694"/>
      <c r="R126" s="694">
        <v>719197</v>
      </c>
      <c r="S126" s="694">
        <v>738301</v>
      </c>
      <c r="T126" s="694">
        <v>757000</v>
      </c>
      <c r="U126" s="694">
        <v>791000</v>
      </c>
      <c r="V126" s="694">
        <v>822000</v>
      </c>
      <c r="W126" s="694">
        <v>778000</v>
      </c>
      <c r="X126" s="694">
        <v>783000</v>
      </c>
      <c r="Y126" s="694">
        <v>780000</v>
      </c>
      <c r="Z126" s="694">
        <v>728000</v>
      </c>
      <c r="AA126" s="694">
        <v>712000</v>
      </c>
      <c r="AB126" s="694">
        <v>697000</v>
      </c>
      <c r="AC126" s="694"/>
      <c r="AD126" s="689"/>
      <c r="AF126" s="689"/>
      <c r="AG126" s="689"/>
    </row>
    <row r="127" spans="1:3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18"/>
      <c r="AC127" s="4"/>
    </row>
  </sheetData>
  <mergeCells count="8">
    <mergeCell ref="U2:V2"/>
    <mergeCell ref="X1:AA1"/>
    <mergeCell ref="A91:C93"/>
    <mergeCell ref="A1:D1"/>
    <mergeCell ref="E1:G1"/>
    <mergeCell ref="Q2:T2"/>
    <mergeCell ref="E48:F48"/>
    <mergeCell ref="E90:F90"/>
  </mergeCells>
  <phoneticPr fontId="2" type="noConversion"/>
  <printOptions horizontalCentered="1" headings="1" gridLines="1"/>
  <pageMargins left="0.25" right="0.25" top="0.75" bottom="0.75" header="0.3" footer="0.3"/>
  <pageSetup paperSize="9"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26</vt:i4>
      </vt:variant>
    </vt:vector>
  </HeadingPairs>
  <TitlesOfParts>
    <vt:vector size="57" baseType="lpstr">
      <vt:lpstr>Changes</vt:lpstr>
      <vt:lpstr>1_ContentsPublic</vt:lpstr>
      <vt:lpstr>2_Inc-Stat</vt:lpstr>
      <vt:lpstr>3_Inc-Stat-FINMod</vt:lpstr>
      <vt:lpstr>4_Fin-Stat</vt:lpstr>
      <vt:lpstr>5_Fin-Stat-FINMod</vt:lpstr>
      <vt:lpstr>6_Cost of Capital</vt:lpstr>
      <vt:lpstr>7_Data Notes</vt:lpstr>
      <vt:lpstr>8_Data Adjust</vt:lpstr>
      <vt:lpstr>Rf SP</vt:lpstr>
      <vt:lpstr>Old 5</vt:lpstr>
      <vt:lpstr>3_Working IFRS</vt:lpstr>
      <vt:lpstr>Econ-Perf 1</vt:lpstr>
      <vt:lpstr>Econ-Perf 2</vt:lpstr>
      <vt:lpstr>Mark-Expect</vt:lpstr>
      <vt:lpstr>TSR</vt:lpstr>
      <vt:lpstr> 11-BU Perf</vt:lpstr>
      <vt:lpstr>15-per Store 16-17</vt:lpstr>
      <vt:lpstr>Archives</vt:lpstr>
      <vt:lpstr>18 Data for Charts</vt:lpstr>
      <vt:lpstr>15b-Charts Comp</vt:lpstr>
      <vt:lpstr>15c-Charts Stores</vt:lpstr>
      <vt:lpstr>X-Chart Basics</vt:lpstr>
      <vt:lpstr>2011</vt:lpstr>
      <vt:lpstr>Old Fin</vt:lpstr>
      <vt:lpstr>JennyR</vt:lpstr>
      <vt:lpstr>New Charts</vt:lpstr>
      <vt:lpstr>xx-WHS Metrics</vt:lpstr>
      <vt:lpstr>Lease</vt:lpstr>
      <vt:lpstr>Tables</vt:lpstr>
      <vt:lpstr>Charts</vt:lpstr>
      <vt:lpstr>' 11-BU Perf'!Print_Area</vt:lpstr>
      <vt:lpstr>'15b-Charts Comp'!Print_Area</vt:lpstr>
      <vt:lpstr>'15c-Charts Stores'!Print_Area</vt:lpstr>
      <vt:lpstr>'15-per Store 16-17'!Print_Area</vt:lpstr>
      <vt:lpstr>'18 Data for Charts'!Print_Area</vt:lpstr>
      <vt:lpstr>'2_Inc-Stat'!Print_Area</vt:lpstr>
      <vt:lpstr>'2011'!Print_Area</vt:lpstr>
      <vt:lpstr>'3_Inc-Stat-FINMod'!Print_Area</vt:lpstr>
      <vt:lpstr>'3_Working IFRS'!Print_Area</vt:lpstr>
      <vt:lpstr>'4_Fin-Stat'!Print_Area</vt:lpstr>
      <vt:lpstr>'5_Fin-Stat-FINMod'!Print_Area</vt:lpstr>
      <vt:lpstr>'6_Cost of Capital'!Print_Area</vt:lpstr>
      <vt:lpstr>'7_Data Notes'!Print_Area</vt:lpstr>
      <vt:lpstr>'8_Data Adjust'!Print_Area</vt:lpstr>
      <vt:lpstr>Archives!Print_Area</vt:lpstr>
      <vt:lpstr>Changes!Print_Area</vt:lpstr>
      <vt:lpstr>'Econ-Perf 1'!Print_Area</vt:lpstr>
      <vt:lpstr>'Econ-Perf 2'!Print_Area</vt:lpstr>
      <vt:lpstr>JennyR!Print_Area</vt:lpstr>
      <vt:lpstr>'Mark-Expect'!Print_Area</vt:lpstr>
      <vt:lpstr>'New Charts'!Print_Area</vt:lpstr>
      <vt:lpstr>'Old 5'!Print_Area</vt:lpstr>
      <vt:lpstr>'Old Fin'!Print_Area</vt:lpstr>
      <vt:lpstr>Tables!Print_Area</vt:lpstr>
      <vt:lpstr>TSR!Print_Area</vt:lpstr>
      <vt:lpstr>'xx-WHS Metrics'!Print_Area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Garth Ireland</dc:creator>
  <cp:keywords/>
  <dc:description/>
  <cp:lastModifiedBy>Ralph</cp:lastModifiedBy>
  <cp:revision/>
  <cp:lastPrinted>2022-02-02T21:47:40Z</cp:lastPrinted>
  <dcterms:created xsi:type="dcterms:W3CDTF">1997-10-03T01:16:29Z</dcterms:created>
  <dcterms:modified xsi:type="dcterms:W3CDTF">2022-02-02T21:48:29Z</dcterms:modified>
  <cp:category/>
  <cp:contentStatus/>
</cp:coreProperties>
</file>